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6.xml" ContentType="application/vnd.ms-excel.controlproperties+xml"/>
  <Override PartName="/xl/drawings/drawing6.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T:\TLC - General Material\Concurrent Engineering\Calculation Sheets\"/>
    </mc:Choice>
  </mc:AlternateContent>
  <bookViews>
    <workbookView xWindow="0" yWindow="0" windowWidth="21216" windowHeight="8136" activeTab="4"/>
  </bookViews>
  <sheets>
    <sheet name="Cover" sheetId="46" r:id="rId1"/>
    <sheet name="Change Log" sheetId="40" r:id="rId2"/>
    <sheet name="Objectives" sheetId="45" r:id="rId3"/>
    <sheet name="General Inputs" sheetId="8" r:id="rId4"/>
    <sheet name="Cylinder" sheetId="9" r:id="rId5"/>
    <sheet name="Prism" sheetId="10" r:id="rId6"/>
    <sheet name="ProductTreeMain" sheetId="42" r:id="rId7"/>
    <sheet name="Trade_off" sheetId="44" r:id="rId8"/>
    <sheet name="Constants" sheetId="11" r:id="rId9"/>
  </sheets>
  <functionGroups builtInGroupCount="18"/>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1AU" localSheetId="0">#REF!</definedName>
    <definedName name="_1AU" localSheetId="2">#REF!</definedName>
    <definedName name="_1AU" localSheetId="6">#REF!</definedName>
    <definedName name="_1AU" localSheetId="7">#REF!</definedName>
    <definedName name="_1AU">#REF!</definedName>
    <definedName name="_ConCORDE_Info_">#REF!</definedName>
    <definedName name="_DomainOfExpertise_">#REF!</definedName>
    <definedName name="_ecc2" localSheetId="0">#REF!</definedName>
    <definedName name="_ecc2" localSheetId="7">#REF!</definedName>
    <definedName name="_ecc2">#REF!</definedName>
    <definedName name="_EngineeringModel_">#REF!</definedName>
    <definedName name="_IterationNumber_">#REF!</definedName>
    <definedName name="_IterationRevision_">#REF!</definedName>
    <definedName name="_LastModifiedOn_">#REF!</definedName>
    <definedName name="_Person_">#REF!</definedName>
    <definedName name="absolute_zero" localSheetId="0">#REF!</definedName>
    <definedName name="absolute_zero" localSheetId="2">#REF!</definedName>
    <definedName name="absolute_zero" localSheetId="6">#REF!</definedName>
    <definedName name="absolute_zero" localSheetId="7">#REF!</definedName>
    <definedName name="absolute_zero">#REF!</definedName>
    <definedName name="anscount" hidden="1">6</definedName>
    <definedName name="AOGNC\m\\">[1]Parameters!$I$2</definedName>
    <definedName name="AOGNC\P\\">[1]Parameters!$I$4</definedName>
    <definedName name="AOGNC\P_duty_cyc\\">[1]Parameters!$I$5</definedName>
    <definedName name="Aperture_diameter">'[2]Obs Payload - Optics'!$D$35</definedName>
    <definedName name="atto" localSheetId="0">#REF!</definedName>
    <definedName name="atto" localSheetId="2">#REF!</definedName>
    <definedName name="atto" localSheetId="6">#REF!</definedName>
    <definedName name="atto" localSheetId="7">#REF!</definedName>
    <definedName name="atto">#REF!</definedName>
    <definedName name="AU" localSheetId="0">#REF!</definedName>
    <definedName name="AU" localSheetId="7">#REF!</definedName>
    <definedName name="AU">#REF!</definedName>
    <definedName name="Author">" "</definedName>
    <definedName name="bmsAddress">""</definedName>
    <definedName name="bmsPhoneFax">""</definedName>
    <definedName name="bmsSitename">""</definedName>
    <definedName name="bmsSitename2">""</definedName>
    <definedName name="Boltzmann_Constant" localSheetId="0">#REF!</definedName>
    <definedName name="Boltzmann_Constant" localSheetId="2">[3]Constants!$B$3</definedName>
    <definedName name="Boltzmann_Constant" localSheetId="6">#REF!</definedName>
    <definedName name="Boltzmann_Constant" localSheetId="7">[3]Constants!$B$3</definedName>
    <definedName name="Boltzmann_Constant">#REF!</definedName>
    <definedName name="c0" localSheetId="2">#REF!</definedName>
    <definedName name="CDH\m\\">[1]Parameters!$I$6</definedName>
    <definedName name="CDH\P\\">[1]Parameters!$I$8</definedName>
    <definedName name="CDH\P_duty_cyc\\">[1]Parameters!$I$9</definedName>
    <definedName name="cellname_SUB_aa">[4]Subsystem!$B$13</definedName>
    <definedName name="cellname_SUB_bb">[4]Subsystem!$B$10</definedName>
    <definedName name="cellname_SUB_cc">[4]Subsystem!$B$11</definedName>
    <definedName name="cellname_SUB_dd">[4]Subsystem!$B$12</definedName>
    <definedName name="centi" localSheetId="0">#REF!</definedName>
    <definedName name="centi" localSheetId="2">#REF!</definedName>
    <definedName name="centi" localSheetId="6">#REF!</definedName>
    <definedName name="centi" localSheetId="7">#REF!</definedName>
    <definedName name="centi">#REF!</definedName>
    <definedName name="Classification">"ESA UNCLASSIFIED - For Official Use"</definedName>
    <definedName name="Classification_Caveat">" "</definedName>
    <definedName name="COMM\m\\">[1]Parameters!$I$10</definedName>
    <definedName name="COMM\P\\">[1]Parameters!$I$12</definedName>
    <definedName name="COMM\P_duty_cyc\\">[1]Parameters!$I$13</definedName>
    <definedName name="Comments">" "</definedName>
    <definedName name="Company">"ESA"</definedName>
    <definedName name="conversion_inch2m" localSheetId="0">#REF!</definedName>
    <definedName name="conversion_inch2m" localSheetId="6">#REF!</definedName>
    <definedName name="conversion_inch2m" localSheetId="7">#REF!</definedName>
    <definedName name="conversion_inch2m">#REF!</definedName>
    <definedName name="Current_Magnetic_Torquer" localSheetId="2">'[5]Attitude Control - Sizing'!$Q$66</definedName>
    <definedName name="Current_Magnetic_Torquer">'[6]Attitude Control - Sizing'!$Q$66</definedName>
    <definedName name="Cylinder_Actual_axial_natural_frequency">Cylinder!$I$38</definedName>
    <definedName name="Cylinder_Actual_lateral_natural_frequency">Cylinder!$I$39</definedName>
    <definedName name="Cylinder_Critical_buckling_load">Cylinder!$J$54</definedName>
    <definedName name="Cylinder_Cross_sectional_area_skin">Cylinder!$J$18</definedName>
    <definedName name="Cylinder_Cylinder_Margin_of_safety">Cylinder!$J$55</definedName>
    <definedName name="Cylinder_Margin_of_safety_ultimate">Cylinder!$E$39</definedName>
    <definedName name="Cylinder_Margin_of_safety_yield">Cylinder!$E$40</definedName>
    <definedName name="Cylinder_Moment_of_inertia_skin">Cylinder!$J$28</definedName>
    <definedName name="Cylinder_Number_of_stringers">Cylinder!$J$22</definedName>
    <definedName name="Cylinder_Radius_to_thickness_ratio">Cylinder!$J$17</definedName>
    <definedName name="Cylinder_Skin_Thickness">Cylinder!$J$16</definedName>
    <definedName name="Cylinder_Ultimate_load">Cylinder!$J$42</definedName>
    <definedName name="DBname" localSheetId="0">#REF!</definedName>
    <definedName name="DBname" localSheetId="2">#REF!</definedName>
    <definedName name="DBname" localSheetId="6">#REF!</definedName>
    <definedName name="DBname" localSheetId="7">#REF!</definedName>
    <definedName name="DBname">#REF!</definedName>
    <definedName name="deci" localSheetId="0">#REF!</definedName>
    <definedName name="deci" localSheetId="6">#REF!</definedName>
    <definedName name="deci" localSheetId="7">#REF!</definedName>
    <definedName name="deci">#REF!</definedName>
    <definedName name="deg" localSheetId="0">#REF!</definedName>
    <definedName name="deg" localSheetId="7">#REF!</definedName>
    <definedName name="deg">#REF!</definedName>
    <definedName name="degpermin" localSheetId="0">#REF!</definedName>
    <definedName name="degpermin" localSheetId="7">#REF!</definedName>
    <definedName name="degpermin">#REF!</definedName>
    <definedName name="degpermin2" localSheetId="0">#REF!</definedName>
    <definedName name="degpermin2" localSheetId="7">#REF!</definedName>
    <definedName name="degpermin2">#REF!</definedName>
    <definedName name="deka" localSheetId="0">#REF!</definedName>
    <definedName name="deka" localSheetId="6">#REF!</definedName>
    <definedName name="deka" localSheetId="7">#REF!</definedName>
    <definedName name="deka">#REF!</definedName>
    <definedName name="departureplanet_OrbitRadius">[7]Constants!$B$9</definedName>
    <definedName name="Distribution">" "</definedName>
    <definedName name="Document_type">" "</definedName>
    <definedName name="Earth_conv_IGRF_radi" localSheetId="0">#REF!</definedName>
    <definedName name="Earth_conv_IGRF_radi" localSheetId="6">#REF!</definedName>
    <definedName name="Earth_conv_IGRF_radi" localSheetId="7">#REF!</definedName>
    <definedName name="Earth_conv_IGRF_radi">#REF!</definedName>
    <definedName name="Earth_dyn_form_factor" localSheetId="0">#REF!</definedName>
    <definedName name="Earth_dyn_form_factor" localSheetId="6">#REF!</definedName>
    <definedName name="Earth_dyn_form_factor" localSheetId="7">#REF!</definedName>
    <definedName name="Earth_dyn_form_factor">#REF!</definedName>
    <definedName name="Earth_equator_radi" localSheetId="0">#REF!</definedName>
    <definedName name="Earth_equator_radi" localSheetId="6">#REF!</definedName>
    <definedName name="Earth_equator_radi" localSheetId="7">#REF!</definedName>
    <definedName name="Earth_equator_radi">#REF!</definedName>
    <definedName name="Earth_flattening_factor" localSheetId="0">#REF!</definedName>
    <definedName name="Earth_flattening_factor" localSheetId="6">#REF!</definedName>
    <definedName name="Earth_flattening_factor" localSheetId="7">#REF!</definedName>
    <definedName name="Earth_flattening_factor">#REF!</definedName>
    <definedName name="Earth_J2" localSheetId="0">#REF!</definedName>
    <definedName name="Earth_J2" localSheetId="2">[8]Constants!#REF!</definedName>
    <definedName name="Earth_J2" localSheetId="6">#REF!</definedName>
    <definedName name="Earth_J2" localSheetId="7">#REF!</definedName>
    <definedName name="Earth_J2">#REF!</definedName>
    <definedName name="Earth_Mag_Moment" localSheetId="0">#REF!</definedName>
    <definedName name="Earth_Mag_Moment" localSheetId="2">[8]Constants!#REF!</definedName>
    <definedName name="Earth_Mag_Moment" localSheetId="6">#REF!</definedName>
    <definedName name="Earth_Mag_Moment" localSheetId="7">#REF!</definedName>
    <definedName name="Earth_Mag_Moment">#REF!</definedName>
    <definedName name="Earth_mass" localSheetId="0">#REF!</definedName>
    <definedName name="Earth_mass" localSheetId="2">#REF!</definedName>
    <definedName name="Earth_mass" localSheetId="6">#REF!</definedName>
    <definedName name="Earth_mass" localSheetId="7">#REF!</definedName>
    <definedName name="Earth_mass">#REF!</definedName>
    <definedName name="Earth_mean_radi" localSheetId="0">#REF!</definedName>
    <definedName name="Earth_mean_radi" localSheetId="6">#REF!</definedName>
    <definedName name="Earth_mean_radi" localSheetId="7">#REF!</definedName>
    <definedName name="Earth_mean_radi">#REF!</definedName>
    <definedName name="Earth_Mu" localSheetId="0">[9]Constants!$B$7</definedName>
    <definedName name="Earth_Mu" localSheetId="2">[5]Constants!$B$12</definedName>
    <definedName name="Earth_Mu" localSheetId="6">[10]Constants!$B$7</definedName>
    <definedName name="Earth_Mu" localSheetId="7">[11]Constants!$B$12</definedName>
    <definedName name="Earth_Mu">Constants!$B$7</definedName>
    <definedName name="Earth_obl_coeff" localSheetId="0">#REF!</definedName>
    <definedName name="Earth_obl_coeff" localSheetId="2">#REF!</definedName>
    <definedName name="Earth_obl_coeff" localSheetId="6">#REF!</definedName>
    <definedName name="Earth_obl_coeff" localSheetId="7">#REF!</definedName>
    <definedName name="Earth_obl_coeff">#REF!</definedName>
    <definedName name="Earth_OrbitRadius" localSheetId="2">[12]Constants!$B$9</definedName>
    <definedName name="Earth_OrbitRadius">[11]Constants!$B$9</definedName>
    <definedName name="Earth_pole_radi" localSheetId="0">#REF!</definedName>
    <definedName name="Earth_pole_radi" localSheetId="2">#REF!</definedName>
    <definedName name="Earth_pole_radi" localSheetId="6">#REF!</definedName>
    <definedName name="Earth_pole_radi" localSheetId="7">#REF!</definedName>
    <definedName name="Earth_pole_radi">#REF!</definedName>
    <definedName name="Earth_Radius" localSheetId="0">[9]Constants!$B$6</definedName>
    <definedName name="Earth_Radius" localSheetId="2">[5]Constants!$B$11</definedName>
    <definedName name="Earth_Radius" localSheetId="6">[10]Constants!$B$6</definedName>
    <definedName name="Earth_Radius" localSheetId="7">[11]Constants!$B$11</definedName>
    <definedName name="Earth_Radius">Constants!$B$6</definedName>
    <definedName name="Earth_rotation_rate" localSheetId="0">#REF!</definedName>
    <definedName name="Earth_rotation_rate" localSheetId="2">#REF!</definedName>
    <definedName name="Earth_rotation_rate" localSheetId="6">#REF!</definedName>
    <definedName name="Earth_rotation_rate" localSheetId="7">#REF!</definedName>
    <definedName name="Earth_rotation_rate">#REF!</definedName>
    <definedName name="Earth_SolarDay" localSheetId="2">[7]Constants!$B$14</definedName>
    <definedName name="Earth_SolarDay">[11]Constants!$B$14</definedName>
    <definedName name="Earth_Vel" localSheetId="0">#REF!</definedName>
    <definedName name="Earth_Vel" localSheetId="2">[8]Constants!#REF!</definedName>
    <definedName name="Earth_Vel" localSheetId="6">#REF!</definedName>
    <definedName name="Earth_Vel" localSheetId="7">#REF!</definedName>
    <definedName name="Earth_Vel">#REF!</definedName>
    <definedName name="ecc" localSheetId="0">#REF!</definedName>
    <definedName name="ecc" localSheetId="2">#REF!</definedName>
    <definedName name="ecc" localSheetId="7">#REF!</definedName>
    <definedName name="ecc">#REF!</definedName>
    <definedName name="elementary_charge" localSheetId="0">#REF!</definedName>
    <definedName name="elementary_charge" localSheetId="6">#REF!</definedName>
    <definedName name="elementary_charge" localSheetId="7">#REF!</definedName>
    <definedName name="elementary_charge">#REF!</definedName>
    <definedName name="EPS\m\\">[1]Parameters!$I$14</definedName>
    <definedName name="EPS\P\\">[1]Parameters!$I$16</definedName>
    <definedName name="EPS\P_duty_cyc\\">[1]Parameters!$I$17</definedName>
    <definedName name="exa" localSheetId="0">#REF!</definedName>
    <definedName name="exa" localSheetId="2">#REF!</definedName>
    <definedName name="exa" localSheetId="6">#REF!</definedName>
    <definedName name="exa" localSheetId="7">#REF!</definedName>
    <definedName name="exa">#REF!</definedName>
    <definedName name="femto" localSheetId="0">#REF!</definedName>
    <definedName name="femto" localSheetId="6">#REF!</definedName>
    <definedName name="femto" localSheetId="7">#REF!</definedName>
    <definedName name="femto">#REF!</definedName>
    <definedName name="Focal_length">'[2]Obs Payload - Optics'!$D$36</definedName>
    <definedName name="g" localSheetId="0">#REF!</definedName>
    <definedName name="g" localSheetId="2">#REF!</definedName>
    <definedName name="g" localSheetId="6">#REF!</definedName>
    <definedName name="g" localSheetId="7">#REF!</definedName>
    <definedName name="g">#REF!</definedName>
    <definedName name="G_Universal" localSheetId="0">#REF!</definedName>
    <definedName name="G_Universal" localSheetId="6">#REF!</definedName>
    <definedName name="G_Universal" localSheetId="7">#REF!</definedName>
    <definedName name="G_Universal">#REF!</definedName>
    <definedName name="giga" localSheetId="0">#REF!</definedName>
    <definedName name="giga" localSheetId="6">#REF!</definedName>
    <definedName name="giga" localSheetId="7">#REF!</definedName>
    <definedName name="giga">#REF!</definedName>
    <definedName name="GM_Earth" localSheetId="0">#REF!</definedName>
    <definedName name="GM_Earth" localSheetId="6">#REF!</definedName>
    <definedName name="GM_Earth" localSheetId="7">#REF!</definedName>
    <definedName name="GM_Earth">#REF!</definedName>
    <definedName name="GM_Mars" localSheetId="0">#REF!</definedName>
    <definedName name="GM_Mars" localSheetId="6">#REF!</definedName>
    <definedName name="GM_Mars" localSheetId="7">#REF!</definedName>
    <definedName name="GM_Mars">#REF!</definedName>
    <definedName name="GM_Moon" localSheetId="0">#REF!</definedName>
    <definedName name="GM_Moon" localSheetId="6">#REF!</definedName>
    <definedName name="GM_Moon" localSheetId="7">#REF!</definedName>
    <definedName name="GM_Moon">#REF!</definedName>
    <definedName name="GM_Sun" localSheetId="0">#REF!</definedName>
    <definedName name="GM_Sun" localSheetId="6">#REF!</definedName>
    <definedName name="GM_Sun" localSheetId="7">#REF!</definedName>
    <definedName name="GM_Sun">#REF!</definedName>
    <definedName name="hecto" localSheetId="0">#REF!</definedName>
    <definedName name="hecto" localSheetId="6">#REF!</definedName>
    <definedName name="hecto" localSheetId="7">#REF!</definedName>
    <definedName name="hecto">#REF!</definedName>
    <definedName name="hgeo" localSheetId="0">#REF!</definedName>
    <definedName name="hgeo" localSheetId="7">#REF!</definedName>
    <definedName name="hgeo">#REF!</definedName>
    <definedName name="HTML_CodePage" hidden="1">1252</definedName>
    <definedName name="HTML_Control" localSheetId="0" hidden="1">{"'honey'!$A$1:$M$23"}</definedName>
    <definedName name="HTML_Control" localSheetId="4" hidden="1">{"'honey'!$A$1:$M$23"}</definedName>
    <definedName name="HTML_Control" localSheetId="2" hidden="1">{"'honey'!$A$1:$M$23"}</definedName>
    <definedName name="HTML_Control" localSheetId="5" hidden="1">{"'honey'!$A$1:$M$23"}</definedName>
    <definedName name="HTML_Control" localSheetId="6" hidden="1">{"'honey'!$A$1:$M$23"}</definedName>
    <definedName name="HTML_Control" localSheetId="7" hidden="1">{"'honey'!$A$1:$M$23"}</definedName>
    <definedName name="HTML_Control" hidden="1">{"'honey'!$A$1:$M$23"}</definedName>
    <definedName name="HTML_Controlbis" localSheetId="0" hidden="1">{"'honey'!$A$1:$M$23"}</definedName>
    <definedName name="HTML_Controlbis" localSheetId="4" hidden="1">{"'honey'!$A$1:$M$23"}</definedName>
    <definedName name="HTML_Controlbis" localSheetId="2" hidden="1">{"'honey'!$A$1:$M$23"}</definedName>
    <definedName name="HTML_Controlbis" localSheetId="5" hidden="1">{"'honey'!$A$1:$M$23"}</definedName>
    <definedName name="HTML_Controlbis" localSheetId="6" hidden="1">{"'honey'!$A$1:$M$23"}</definedName>
    <definedName name="HTML_Controlbis" localSheetId="7" hidden="1">{"'honey'!$A$1:$M$23"}</definedName>
    <definedName name="HTML_Controlbis" hidden="1">{"'honey'!$A$1:$M$23"}</definedName>
    <definedName name="HTML_Description" hidden="1">""</definedName>
    <definedName name="HTML_Email" hidden="1">""</definedName>
    <definedName name="HTML_Header" hidden="1">"honey"</definedName>
    <definedName name="HTML_LastUpdate" hidden="1">"24/11/97"</definedName>
    <definedName name="HTML_LineAfter" hidden="1">TRUE</definedName>
    <definedName name="HTML_LineBefore" hidden="1">TRUE</definedName>
    <definedName name="HTML_Name" hidden="1">"Philippe Poinas"</definedName>
    <definedName name="HTML_OBDlg2" hidden="1">TRUE</definedName>
    <definedName name="HTML_OBDlg4" hidden="1">TRUE</definedName>
    <definedName name="HTML_OS" hidden="1">0</definedName>
    <definedName name="HTML_PathFile" hidden="1">"H:\philippe\etc\kermesse\y97\exceltest.html"</definedName>
    <definedName name="HTML_Title" hidden="1">"thermal"</definedName>
    <definedName name="inc" localSheetId="0">#REF!</definedName>
    <definedName name="inc" localSheetId="7">#REF!</definedName>
    <definedName name="inc">#REF!</definedName>
    <definedName name="INS\m\\">[1]Parameters!$I$18</definedName>
    <definedName name="INS\P\\">[1]Parameters!$I$20</definedName>
    <definedName name="INS\P_duty_cyc\\">[1]Parameters!$I$21</definedName>
    <definedName name="Issue">"16/07/2018"</definedName>
    <definedName name="Issue_Date" localSheetId="6">"01/01/2000"</definedName>
    <definedName name="Issue_Date">" "</definedName>
    <definedName name="jtwo" localSheetId="0">#REF!</definedName>
    <definedName name="jtwo" localSheetId="2">#REF!</definedName>
    <definedName name="jtwo" localSheetId="7">#REF!</definedName>
    <definedName name="jtwo">#REF!</definedName>
    <definedName name="K" localSheetId="0">#REF!</definedName>
    <definedName name="K" localSheetId="7">#REF!</definedName>
    <definedName name="K">#REF!</definedName>
    <definedName name="kb" localSheetId="0">#REF!</definedName>
    <definedName name="kb" localSheetId="7">#REF!</definedName>
    <definedName name="kb">#REF!</definedName>
    <definedName name="Keywords">" "</definedName>
    <definedName name="kilo" localSheetId="0">#REF!</definedName>
    <definedName name="kilo" localSheetId="2">#REF!</definedName>
    <definedName name="kilo" localSheetId="6">#REF!</definedName>
    <definedName name="kilo" localSheetId="7">#REF!</definedName>
    <definedName name="kilo">#REF!</definedName>
    <definedName name="Knudot" localSheetId="0">#REF!</definedName>
    <definedName name="Knudot" localSheetId="7">#REF!</definedName>
    <definedName name="Knudot">#REF!</definedName>
    <definedName name="Knudot2" localSheetId="0">#REF!</definedName>
    <definedName name="Knudot2" localSheetId="7">#REF!</definedName>
    <definedName name="Knudot2">#REF!</definedName>
    <definedName name="light_year" localSheetId="0">#REF!</definedName>
    <definedName name="light_year" localSheetId="6">#REF!</definedName>
    <definedName name="light_year" localSheetId="7">#REF!</definedName>
    <definedName name="light_year">#REF!</definedName>
    <definedName name="Mars_mass" localSheetId="0">#REF!</definedName>
    <definedName name="Mars_mass" localSheetId="2">#REF!</definedName>
    <definedName name="Mars_mass" localSheetId="6">#REF!</definedName>
    <definedName name="Mars_mass" localSheetId="7">#REF!</definedName>
    <definedName name="Mars_mass">#REF!</definedName>
    <definedName name="Mars_mean_radi" localSheetId="0">#REF!</definedName>
    <definedName name="Mars_mean_radi" localSheetId="6">#REF!</definedName>
    <definedName name="Mars_mean_radi" localSheetId="7">#REF!</definedName>
    <definedName name="Mars_mean_radi">#REF!</definedName>
    <definedName name="Mass" localSheetId="0">#REF!</definedName>
    <definedName name="Mass" localSheetId="2">#REF!</definedName>
    <definedName name="Mass" localSheetId="6">[10]MainTrade!#REF!</definedName>
    <definedName name="Mass" localSheetId="7">#REF!</definedName>
    <definedName name="Mass">#REF!</definedName>
    <definedName name="MECH\m\\">[1]Parameters!$I$22</definedName>
    <definedName name="MECH\P\\">[1]Parameters!$I$24</definedName>
    <definedName name="MECH\P_duty_cyc\\">[1]Parameters!$I$25</definedName>
    <definedName name="mega" localSheetId="0">#REF!</definedName>
    <definedName name="mega" localSheetId="2">#REF!</definedName>
    <definedName name="mega" localSheetId="6">#REF!</definedName>
    <definedName name="mega" localSheetId="7">#REF!</definedName>
    <definedName name="mega">#REF!</definedName>
    <definedName name="micro" localSheetId="0">#REF!</definedName>
    <definedName name="micro" localSheetId="6">#REF!</definedName>
    <definedName name="micro" localSheetId="7">#REF!</definedName>
    <definedName name="micro">#REF!</definedName>
    <definedName name="milli" localSheetId="0">#REF!</definedName>
    <definedName name="milli" localSheetId="6">#REF!</definedName>
    <definedName name="milli" localSheetId="7">#REF!</definedName>
    <definedName name="milli">#REF!</definedName>
    <definedName name="Momentum_Wheel_Mass" localSheetId="2">'[5]Attitude Control - Sizing'!$Q$20</definedName>
    <definedName name="Momentum_Wheel_Mass">'[6]Attitude Control - Sizing'!$Q$20</definedName>
    <definedName name="mu" localSheetId="2">#REF!</definedName>
    <definedName name="nano" localSheetId="0">#REF!</definedName>
    <definedName name="nano" localSheetId="2">#REF!</definedName>
    <definedName name="nano" localSheetId="6">#REF!</definedName>
    <definedName name="nano" localSheetId="7">#REF!</definedName>
    <definedName name="nano">#REF!</definedName>
    <definedName name="Originating_Organisation">" "</definedName>
    <definedName name="para_SUB_aa">[4]Subsystem!$A$13</definedName>
    <definedName name="para_SUB_bb">[4]Subsystem!$A$10</definedName>
    <definedName name="para_SUB_cc">[4]Subsystem!$A$11</definedName>
    <definedName name="para_SUB_dd">[4]Subsystem!$A$12</definedName>
    <definedName name="Parameters">#REF!</definedName>
    <definedName name="PasteSpecial" localSheetId="0">#N/A</definedName>
    <definedName name="PasteSpecial" localSheetId="4">Cylinder!PasteSpecial</definedName>
    <definedName name="PasteSpecial" localSheetId="2">Objectives!PasteSpecial</definedName>
    <definedName name="PasteSpecial" localSheetId="5">Prism!PasteSpecial</definedName>
    <definedName name="PasteSpecial" localSheetId="6">ProductTreeMain!PasteSpecial</definedName>
    <definedName name="PasteSpecial" localSheetId="7">Trade_off!PasteSpecial</definedName>
    <definedName name="PasteSpecial">Cylinder!PasteSpecial</definedName>
    <definedName name="PasteSpecial_3" localSheetId="0">#N/A</definedName>
    <definedName name="PasteSpecial_3" localSheetId="4">Cylinder!PasteSpecial_3</definedName>
    <definedName name="PasteSpecial_3" localSheetId="2">Objectives!PasteSpecial_3</definedName>
    <definedName name="PasteSpecial_3" localSheetId="5">Prism!PasteSpecial_3</definedName>
    <definedName name="PasteSpecial_3" localSheetId="6">ProductTreeMain!PasteSpecial_3</definedName>
    <definedName name="PasteSpecial_3" localSheetId="7">Trade_off!PasteSpecial_3</definedName>
    <definedName name="PasteSpecial_3">Cylinder!PasteSpecial_3</definedName>
    <definedName name="PasteSpecial_6" localSheetId="0">#N/A</definedName>
    <definedName name="PasteSpecial_6" localSheetId="4">Cylinder!PasteSpecial_6</definedName>
    <definedName name="PasteSpecial_6" localSheetId="2">Objectives!PasteSpecial_6</definedName>
    <definedName name="PasteSpecial_6" localSheetId="5">Prism!PasteSpecial_6</definedName>
    <definedName name="PasteSpecial_6" localSheetId="6">ProductTreeMain!PasteSpecial_6</definedName>
    <definedName name="PasteSpecial_6" localSheetId="7">Trade_off!PasteSpecial_6</definedName>
    <definedName name="PasteSpecial_6">Cylinder!PasteSpecial_6</definedName>
    <definedName name="PasteSpecial_7" localSheetId="0">#N/A</definedName>
    <definedName name="PasteSpecial_7" localSheetId="4">Cylinder!PasteSpecial_7</definedName>
    <definedName name="PasteSpecial_7" localSheetId="2">Objectives!PasteSpecial_7</definedName>
    <definedName name="PasteSpecial_7" localSheetId="5">Prism!PasteSpecial_7</definedName>
    <definedName name="PasteSpecial_7" localSheetId="6">ProductTreeMain!PasteSpecial_7</definedName>
    <definedName name="PasteSpecial_7" localSheetId="7">Trade_off!PasteSpecial_7</definedName>
    <definedName name="PasteSpecial_7">Cylinder!PasteSpecial_7</definedName>
    <definedName name="PasteSpecial_8" localSheetId="0">#N/A</definedName>
    <definedName name="PasteSpecial_8" localSheetId="4">Cylinder!PasteSpecial_8</definedName>
    <definedName name="PasteSpecial_8" localSheetId="2">Objectives!PasteSpecial_8</definedName>
    <definedName name="PasteSpecial_8" localSheetId="5">Prism!PasteSpecial_8</definedName>
    <definedName name="PasteSpecial_8" localSheetId="6">ProductTreeMain!PasteSpecial_8</definedName>
    <definedName name="PasteSpecial_8" localSheetId="7">Trade_off!PasteSpecial_8</definedName>
    <definedName name="PasteSpecial_8">Cylinder!PasteSpecial_8</definedName>
    <definedName name="permeability_vacuum" localSheetId="0">#REF!</definedName>
    <definedName name="permeability_vacuum" localSheetId="2">#REF!</definedName>
    <definedName name="permeability_vacuum" localSheetId="6">#REF!</definedName>
    <definedName name="permeability_vacuum" localSheetId="7">#REF!</definedName>
    <definedName name="permeability_vacuum">#REF!</definedName>
    <definedName name="permittivity_vacuum" localSheetId="0">#REF!</definedName>
    <definedName name="permittivity_vacuum" localSheetId="6">#REF!</definedName>
    <definedName name="permittivity_vacuum" localSheetId="7">#REF!</definedName>
    <definedName name="permittivity_vacuum">#REF!</definedName>
    <definedName name="peta" localSheetId="0">#REF!</definedName>
    <definedName name="peta" localSheetId="6">#REF!</definedName>
    <definedName name="peta" localSheetId="7">#REF!</definedName>
    <definedName name="peta">#REF!</definedName>
    <definedName name="pi" localSheetId="0">#REF!</definedName>
    <definedName name="pi" localSheetId="6">#REF!</definedName>
    <definedName name="pi" localSheetId="7">#REF!</definedName>
    <definedName name="pi">#REF!</definedName>
    <definedName name="piko" localSheetId="0">#REF!</definedName>
    <definedName name="piko" localSheetId="6">#REF!</definedName>
    <definedName name="piko" localSheetId="7">#REF!</definedName>
    <definedName name="piko">#REF!</definedName>
    <definedName name="Planck_Constant" localSheetId="0">#REF!</definedName>
    <definedName name="Planck_Constant" localSheetId="2">#REF!</definedName>
    <definedName name="Planck_Constant" localSheetId="6">#REF!</definedName>
    <definedName name="Planck_Constant" localSheetId="7">#REF!</definedName>
    <definedName name="Planck_Constant">#REF!</definedName>
    <definedName name="Planet_Albedo" localSheetId="2">[13]Constants!$B$32</definedName>
    <definedName name="Planet_Albedo" localSheetId="7">[14]Constants!$B$32</definedName>
    <definedName name="Planet_Albedo">[15]Constants!$B$32</definedName>
    <definedName name="Planet_J2" localSheetId="2">[7]Constants!$B$20</definedName>
    <definedName name="Planet_J2">[11]Constants!$B$20</definedName>
    <definedName name="Planet_MaxIR" localSheetId="2">[16]Constants!$B$29</definedName>
    <definedName name="Planet_MaxIR" localSheetId="7">[14]Constants!$B$29</definedName>
    <definedName name="Planet_MaxIR">[15]Constants!$B$29</definedName>
    <definedName name="Planet_MinIR" localSheetId="2">[16]Constants!$B$30</definedName>
    <definedName name="Planet_MinIR" localSheetId="7">[14]Constants!$B$30</definedName>
    <definedName name="Planet_MinIR">[15]Constants!$B$30</definedName>
    <definedName name="Planet_Mu" localSheetId="2">[7]Constants!$B$19</definedName>
    <definedName name="Planet_Mu" localSheetId="6">[15]Constants!$B$19</definedName>
    <definedName name="Planet_Mu" localSheetId="7">[14]Constants!$B$19</definedName>
    <definedName name="Planet_Mu">[11]Constants!$B$19</definedName>
    <definedName name="Planet_OrbitRadius" localSheetId="2">[7]Constants!$B$16</definedName>
    <definedName name="Planet_OrbitRadius">[11]Constants!$B$16</definedName>
    <definedName name="Planet_Radius" localSheetId="2">[8]Constants!$B$18</definedName>
    <definedName name="Planet_Radius" localSheetId="6">[15]Constants!$B$18</definedName>
    <definedName name="Planet_Radius" localSheetId="7">[14]Constants!$B$18</definedName>
    <definedName name="Planet_Radius">[11]Constants!$B$18</definedName>
    <definedName name="Planet_Vel" localSheetId="2">[7]Constants!$B$27</definedName>
    <definedName name="Planet_Vel">[11]Constants!$B$27</definedName>
    <definedName name="plank" localSheetId="2">#REF!</definedName>
    <definedName name="Pressnt\m\\" localSheetId="2">[13]Parameters!$I$5</definedName>
    <definedName name="Pressnt\m\\">[14]Parameters!$I$5</definedName>
    <definedName name="Prism_Actual_axial_natural_frequency">Prism!$I$46</definedName>
    <definedName name="Prism_Actual_lateral_natural_frequency">Prism!$I$47</definedName>
    <definedName name="Prism_Critical_buckling_load">Prism!$J$60</definedName>
    <definedName name="Prism_Cross_sectional_area_skin">Prism!$J$16</definedName>
    <definedName name="Prism_Margin_of_safety_ultimate">Prism!$E$53</definedName>
    <definedName name="Prism_Margin_of_safety_yield">Prism!$E$54</definedName>
    <definedName name="Prism_Number_of_stringers">Prism!$J$21</definedName>
    <definedName name="Prism_Prism_Margin_of_safety">Prism!$J$63</definedName>
    <definedName name="Prism_Skin_Thickness">Prism!$J$15</definedName>
    <definedName name="Prism_Ultimate_load">Prism!$E$53</definedName>
    <definedName name="Prop\m\\" localSheetId="2">[1]Parameters!$I$26</definedName>
    <definedName name="Prop\m\\" localSheetId="7">[14]Parameters!$I$6</definedName>
    <definedName name="Prop\m\\">[1]Parameters!$I$26</definedName>
    <definedName name="Prop\P\\">[1]Parameters!$I$28</definedName>
    <definedName name="Prop\P_duty_cyc\\">[1]Parameters!$I$29</definedName>
    <definedName name="Q" localSheetId="0">#REF!</definedName>
    <definedName name="Q" localSheetId="2">#REF!</definedName>
    <definedName name="Q" localSheetId="7">#REF!</definedName>
    <definedName name="Q">#REF!</definedName>
    <definedName name="Q_2" localSheetId="0">#REF!</definedName>
    <definedName name="Q_2" localSheetId="7">#REF!</definedName>
    <definedName name="Q_2">#REF!</definedName>
    <definedName name="Q1_2" localSheetId="0">#REF!</definedName>
    <definedName name="Q1_2" localSheetId="7">#REF!</definedName>
    <definedName name="Q1_2">#REF!</definedName>
    <definedName name="RadToDeg" localSheetId="2">[11]Constants!$B$40</definedName>
    <definedName name="RadToDeg">[11]Constants!$B$40</definedName>
    <definedName name="Rain_Temp" localSheetId="0">#REF!</definedName>
    <definedName name="Rain_Temp" localSheetId="2">#REF!</definedName>
    <definedName name="Rain_Temp" localSheetId="6">#REF!</definedName>
    <definedName name="Rain_Temp" localSheetId="7">#REF!</definedName>
    <definedName name="Rain_Temp">#REF!</definedName>
    <definedName name="Range_default">#REF!</definedName>
    <definedName name="Re" localSheetId="2">#REF!</definedName>
    <definedName name="Reaction_Wheel_Mass" localSheetId="2">'[5]Attitude Control - Sizing'!$Q$30</definedName>
    <definedName name="Reaction_Wheel_Mass">'[6]Attitude Control - Sizing'!$Q$30</definedName>
    <definedName name="Reference">" "</definedName>
    <definedName name="remark_SUB_aa">[4]Subsystem!$H$13</definedName>
    <definedName name="remark_SUB_bb">[4]Subsystem!$H$10</definedName>
    <definedName name="remark_SUB_cc">[4]Subsystem!$H$11</definedName>
    <definedName name="remark_SUB_dd">[4]Subsystem!$H$12</definedName>
    <definedName name="Revision">" "</definedName>
    <definedName name="rgeo" localSheetId="0">#REF!</definedName>
    <definedName name="rgeo" localSheetId="2">#REF!</definedName>
    <definedName name="rgeo" localSheetId="7">#REF!</definedName>
    <definedName name="rgeo">#REF!</definedName>
    <definedName name="sol" localSheetId="0">#REF!</definedName>
    <definedName name="sol" localSheetId="2">#REF!</definedName>
    <definedName name="sol" localSheetId="7">#REF!</definedName>
    <definedName name="sol">#REF!</definedName>
    <definedName name="Solar_Flux" localSheetId="0">#REF!</definedName>
    <definedName name="Solar_Flux" localSheetId="2">[5]Constants!$B$33</definedName>
    <definedName name="Solar_Flux" localSheetId="6">#REF!</definedName>
    <definedName name="Solar_Flux" localSheetId="7">#REF!</definedName>
    <definedName name="Solar_Flux">#REF!</definedName>
    <definedName name="solar_flux_1AU" localSheetId="0">#REF!</definedName>
    <definedName name="solar_flux_1AU" localSheetId="2">#REF!</definedName>
    <definedName name="solar_flux_1AU" localSheetId="6">#REF!</definedName>
    <definedName name="solar_flux_1AU" localSheetId="7">#REF!</definedName>
    <definedName name="solar_flux_1AU">#REF!</definedName>
    <definedName name="Solar_mass" localSheetId="0">#REF!</definedName>
    <definedName name="Solar_mass" localSheetId="6">#REF!</definedName>
    <definedName name="Solar_mass" localSheetId="7">#REF!</definedName>
    <definedName name="Solar_mass">#REF!</definedName>
    <definedName name="Solar_radius" localSheetId="0">#REF!</definedName>
    <definedName name="Solar_radius" localSheetId="6">#REF!</definedName>
    <definedName name="Solar_radius" localSheetId="7">#REF!</definedName>
    <definedName name="Solar_radius">#REF!</definedName>
    <definedName name="Spacecraft\delta_v\\" localSheetId="2">[13]Parameters!$I$2</definedName>
    <definedName name="Spacecraft\delta_v\\">[14]Parameters!$I$2</definedName>
    <definedName name="Spacecraft\mass_dry\\" localSheetId="2">[13]Parameters!$I$3</definedName>
    <definedName name="Spacecraft\mass_dry\\">[14]Parameters!$I$3</definedName>
    <definedName name="Spacecraft\mass_wet\\" localSheetId="2">[13]Parameters!$I$4</definedName>
    <definedName name="Spacecraft\mass_wet\\">[14]Parameters!$I$4</definedName>
    <definedName name="Speed_of_Light" localSheetId="0">#REF!</definedName>
    <definedName name="Speed_of_Light" localSheetId="2">[5]Constants!$B$1</definedName>
    <definedName name="Speed_of_Light" localSheetId="6">#REF!</definedName>
    <definedName name="Speed_of_Light" localSheetId="7">#REF!</definedName>
    <definedName name="Speed_of_Light">#REF!</definedName>
    <definedName name="States">#REF!</definedName>
    <definedName name="Status">" "</definedName>
    <definedName name="Stefan_Boltzmann_Constant" localSheetId="0">#REF!</definedName>
    <definedName name="Stefan_Boltzmann_Constant" localSheetId="2">#REF!</definedName>
    <definedName name="Stefan_Boltzmann_Constant" localSheetId="6">#REF!</definedName>
    <definedName name="Stefan_Boltzmann_Constant" localSheetId="7">#REF!</definedName>
    <definedName name="Stefan_Boltzmann_Constant">#REF!</definedName>
    <definedName name="Stefan_Boltzmann_Constants" localSheetId="2">[13]Constants!$B$4</definedName>
    <definedName name="Stefan_Boltzmann_Constants" localSheetId="7">[14]Constants!$B$4</definedName>
    <definedName name="Stefan_Boltzmann_Constants">[15]Constants!$B$4</definedName>
    <definedName name="step" localSheetId="0">#REF!</definedName>
    <definedName name="step" localSheetId="2">#REF!</definedName>
    <definedName name="step" localSheetId="7">#REF!</definedName>
    <definedName name="step">#REF!</definedName>
    <definedName name="STR\m\\">[1]Parameters!$I$30</definedName>
    <definedName name="STR\P\\">[1]Parameters!$I$32</definedName>
    <definedName name="STR\P_duty_cyc\\">[1]Parameters!$I$33</definedName>
    <definedName name="SUB_aa">[4]Subsystem!$G$13</definedName>
    <definedName name="SUB_bb">[4]Subsystem!$G$10</definedName>
    <definedName name="SUB_cc">[4]Subsystem!$G$11</definedName>
    <definedName name="SUB_dd">[4]Subsystem!$G$12</definedName>
    <definedName name="Subject">" "</definedName>
    <definedName name="Sun_Mu" localSheetId="2">[7]Constants!$B$7</definedName>
    <definedName name="Sun_Mu">[11]Constants!$B$7</definedName>
    <definedName name="Sun_radi_1AU" localSheetId="0">#REF!</definedName>
    <definedName name="Sun_radi_1AU" localSheetId="2">#REF!</definedName>
    <definedName name="Sun_radi_1AU" localSheetId="6">#REF!</definedName>
    <definedName name="Sun_radi_1AU" localSheetId="7">#REF!</definedName>
    <definedName name="Sun_radi_1AU">#REF!</definedName>
    <definedName name="temp_deep_space" localSheetId="0">#REF!</definedName>
    <definedName name="temp_deep_space" localSheetId="6">#REF!</definedName>
    <definedName name="temp_deep_space" localSheetId="7">#REF!</definedName>
    <definedName name="temp_deep_space">#REF!</definedName>
    <definedName name="tera" localSheetId="0">#REF!</definedName>
    <definedName name="tera" localSheetId="6">#REF!</definedName>
    <definedName name="tera" localSheetId="7">#REF!</definedName>
    <definedName name="tera">#REF!</definedName>
    <definedName name="THR\m\\">[1]Parameters!$I$34</definedName>
    <definedName name="THR\P\\">[1]Parameters!$I$36</definedName>
    <definedName name="THR\P_duty_cyc\\">[1]Parameters!$I$37</definedName>
    <definedName name="Title">""</definedName>
    <definedName name="Total_Cyliner_Mass">Cylinder!$J$63</definedName>
    <definedName name="Total_Prism_Mass">Prism!$J$72</definedName>
    <definedName name="tsid" localSheetId="0">#REF!</definedName>
    <definedName name="tsid" localSheetId="2">#REF!</definedName>
    <definedName name="tsid" localSheetId="7">#REF!</definedName>
    <definedName name="tsid">#REF!</definedName>
    <definedName name="units_SUB_aa">[4]Subsystem!$E$13</definedName>
    <definedName name="units_SUB_bb">[4]Subsystem!$E$10</definedName>
    <definedName name="units_SUB_cc">[4]Subsystem!$E$11</definedName>
    <definedName name="units_SUB_dd">[4]Subsystem!$E$12</definedName>
    <definedName name="ve" localSheetId="2">#REF!</definedName>
    <definedName name="yocto" localSheetId="0">#REF!</definedName>
    <definedName name="yocto" localSheetId="2">#REF!</definedName>
    <definedName name="yocto" localSheetId="6">#REF!</definedName>
    <definedName name="yocto" localSheetId="7">#REF!</definedName>
    <definedName name="yocto">#REF!</definedName>
    <definedName name="yotta" localSheetId="0">#REF!</definedName>
    <definedName name="yotta" localSheetId="6">#REF!</definedName>
    <definedName name="yotta" localSheetId="7">#REF!</definedName>
    <definedName name="yotta">#REF!</definedName>
    <definedName name="zepto" localSheetId="0">#REF!</definedName>
    <definedName name="zepto" localSheetId="6">#REF!</definedName>
    <definedName name="zepto" localSheetId="7">#REF!</definedName>
    <definedName name="zepto">#REF!</definedName>
    <definedName name="zetta" localSheetId="0">#REF!</definedName>
    <definedName name="zetta" localSheetId="6">#REF!</definedName>
    <definedName name="zetta" localSheetId="7">#REF!</definedName>
    <definedName name="zett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0" i="9" l="1"/>
  <c r="B37" i="44" l="1"/>
  <c r="B35" i="44"/>
  <c r="B26" i="44"/>
  <c r="M26" i="44" s="1"/>
  <c r="B25" i="44"/>
  <c r="R40" i="44" s="1"/>
  <c r="B24" i="44"/>
  <c r="P24" i="44" s="1"/>
  <c r="N23" i="44"/>
  <c r="B23" i="44"/>
  <c r="R38" i="44" s="1"/>
  <c r="N22" i="44"/>
  <c r="B22" i="44"/>
  <c r="M22" i="44" s="1"/>
  <c r="B21" i="44"/>
  <c r="H20" i="44"/>
  <c r="F22" i="44" s="1"/>
  <c r="B20" i="44"/>
  <c r="B19" i="44"/>
  <c r="E16" i="44" s="1"/>
  <c r="E18" i="44" s="1"/>
  <c r="B18" i="44"/>
  <c r="B33" i="44" s="1"/>
  <c r="B17" i="44"/>
  <c r="L16" i="44"/>
  <c r="L23" i="44" s="1"/>
  <c r="I26" i="44" s="1"/>
  <c r="I16" i="44"/>
  <c r="I22" i="44" s="1"/>
  <c r="H23" i="44" s="1"/>
  <c r="H16" i="44"/>
  <c r="H19" i="44" s="1"/>
  <c r="E22" i="44" s="1"/>
  <c r="F16" i="44"/>
  <c r="G20" i="44" s="1"/>
  <c r="F21" i="44" s="1"/>
  <c r="S13" i="44"/>
  <c r="Q13" i="44"/>
  <c r="O13" i="44"/>
  <c r="M13" i="44"/>
  <c r="K13" i="44"/>
  <c r="I13" i="44"/>
  <c r="G13" i="44"/>
  <c r="E13" i="44"/>
  <c r="C13" i="44"/>
  <c r="L20" i="44" l="1"/>
  <c r="F26" i="44" s="1"/>
  <c r="H17" i="44"/>
  <c r="C22" i="44" s="1"/>
  <c r="L24" i="44"/>
  <c r="J26" i="44" s="1"/>
  <c r="N26" i="44"/>
  <c r="B39" i="44"/>
  <c r="J16" i="44"/>
  <c r="L17" i="44"/>
  <c r="C26" i="44" s="1"/>
  <c r="M23" i="44"/>
  <c r="M24" i="44"/>
  <c r="B41" i="44"/>
  <c r="F18" i="44"/>
  <c r="D20" i="44" s="1"/>
  <c r="D19" i="44"/>
  <c r="P25" i="44"/>
  <c r="F19" i="44"/>
  <c r="E20" i="44" s="1"/>
  <c r="J19" i="44"/>
  <c r="E24" i="44" s="1"/>
  <c r="I20" i="44"/>
  <c r="F23" i="44" s="1"/>
  <c r="H21" i="44"/>
  <c r="G22" i="44" s="1"/>
  <c r="L21" i="44"/>
  <c r="G26" i="44" s="1"/>
  <c r="P22" i="44"/>
  <c r="J23" i="44"/>
  <c r="I24" i="44" s="1"/>
  <c r="L25" i="44"/>
  <c r="K26" i="44" s="1"/>
  <c r="P26" i="44"/>
  <c r="R37" i="44"/>
  <c r="R39" i="44"/>
  <c r="R41" i="44"/>
  <c r="C16" i="44"/>
  <c r="G16" i="44"/>
  <c r="K16" i="44"/>
  <c r="I17" i="44"/>
  <c r="C23" i="44" s="1"/>
  <c r="H18" i="44"/>
  <c r="D22" i="44" s="1"/>
  <c r="L18" i="44"/>
  <c r="D26" i="44" s="1"/>
  <c r="J20" i="44"/>
  <c r="F24" i="44" s="1"/>
  <c r="I21" i="44"/>
  <c r="G23" i="44" s="1"/>
  <c r="L22" i="44"/>
  <c r="H26" i="44" s="1"/>
  <c r="P23" i="44"/>
  <c r="N24" i="44"/>
  <c r="M25" i="44"/>
  <c r="B32" i="44"/>
  <c r="B34" i="44"/>
  <c r="B36" i="44"/>
  <c r="B38" i="44"/>
  <c r="B40" i="44"/>
  <c r="I19" i="44"/>
  <c r="E23" i="44" s="1"/>
  <c r="D16" i="44"/>
  <c r="D17" i="44" s="1"/>
  <c r="C18" i="44" s="1"/>
  <c r="J17" i="44"/>
  <c r="C24" i="44" s="1"/>
  <c r="I18" i="44"/>
  <c r="D23" i="44" s="1"/>
  <c r="L19" i="44"/>
  <c r="E26" i="44" s="1"/>
  <c r="N25" i="44"/>
  <c r="E126" i="11"/>
  <c r="E125" i="11"/>
  <c r="E124" i="11"/>
  <c r="E123" i="11"/>
  <c r="E122" i="11"/>
  <c r="E121" i="11"/>
  <c r="E120" i="11"/>
  <c r="E119" i="11"/>
  <c r="E118" i="11"/>
  <c r="E115" i="11" s="1"/>
  <c r="E117" i="11"/>
  <c r="E116" i="11"/>
  <c r="D115" i="11"/>
  <c r="C115" i="11"/>
  <c r="E114" i="11"/>
  <c r="B99" i="11"/>
  <c r="B100" i="11"/>
  <c r="B101" i="11" s="1"/>
  <c r="B102" i="11" s="1"/>
  <c r="B103" i="11" s="1"/>
  <c r="B104" i="11" s="1"/>
  <c r="B105" i="11" s="1"/>
  <c r="B106" i="11" s="1"/>
  <c r="B107" i="11" s="1"/>
  <c r="D98" i="11" s="1"/>
  <c r="D99" i="11" s="1"/>
  <c r="D100" i="11" s="1"/>
  <c r="D101" i="11" s="1"/>
  <c r="D102" i="11" s="1"/>
  <c r="D103" i="11" s="1"/>
  <c r="D104" i="11" s="1"/>
  <c r="D105" i="11" s="1"/>
  <c r="D106" i="11" s="1"/>
  <c r="D107" i="11" s="1"/>
  <c r="G98" i="11" s="1"/>
  <c r="G99" i="11" s="1"/>
  <c r="G100" i="11" s="1"/>
  <c r="G101" i="11" s="1"/>
  <c r="G102" i="11" s="1"/>
  <c r="G103" i="11" s="1"/>
  <c r="G104" i="11" s="1"/>
  <c r="G105" i="11" s="1"/>
  <c r="G106" i="11" s="1"/>
  <c r="G107" i="11" s="1"/>
  <c r="I98" i="11" s="1"/>
  <c r="I99" i="11" s="1"/>
  <c r="I100" i="11" s="1"/>
  <c r="I101" i="11" s="1"/>
  <c r="I102" i="11" s="1"/>
  <c r="I103" i="11" s="1"/>
  <c r="I104" i="11" s="1"/>
  <c r="I105" i="11" s="1"/>
  <c r="I106" i="11" s="1"/>
  <c r="I107" i="11" s="1"/>
  <c r="H98" i="11"/>
  <c r="H99" i="11"/>
  <c r="H100" i="11"/>
  <c r="H101" i="11" s="1"/>
  <c r="H102" i="11" s="1"/>
  <c r="H103" i="11" s="1"/>
  <c r="H104" i="11" s="1"/>
  <c r="H105" i="11" s="1"/>
  <c r="H106" i="11" s="1"/>
  <c r="H107" i="11" s="1"/>
  <c r="J98" i="11" s="1"/>
  <c r="J99" i="11" s="1"/>
  <c r="J100" i="11" s="1"/>
  <c r="J101" i="11" s="1"/>
  <c r="J102" i="11" s="1"/>
  <c r="J103" i="11" s="1"/>
  <c r="J104" i="11" s="1"/>
  <c r="J105" i="11" s="1"/>
  <c r="J106" i="11" s="1"/>
  <c r="J107" i="11" s="1"/>
  <c r="Q90" i="11"/>
  <c r="P90" i="11"/>
  <c r="AD89" i="11"/>
  <c r="AC89" i="11"/>
  <c r="Q89" i="11"/>
  <c r="P89" i="11"/>
  <c r="AD88" i="11"/>
  <c r="AN87" i="11" s="1"/>
  <c r="AC88" i="11"/>
  <c r="Q88" i="11"/>
  <c r="P88" i="11"/>
  <c r="S89" i="11" s="1"/>
  <c r="T88" i="11" s="1"/>
  <c r="U88" i="11"/>
  <c r="T89" i="11" s="1"/>
  <c r="AD87" i="11"/>
  <c r="AC87" i="11"/>
  <c r="S87" i="11"/>
  <c r="Q87" i="11"/>
  <c r="AA87" i="11"/>
  <c r="P87" i="11"/>
  <c r="U87" i="11"/>
  <c r="G80" i="11"/>
  <c r="D80" i="11"/>
  <c r="G79" i="11"/>
  <c r="D79" i="11"/>
  <c r="AD74" i="11"/>
  <c r="AC74" i="11"/>
  <c r="Q74" i="11"/>
  <c r="P74" i="11"/>
  <c r="AD73" i="11"/>
  <c r="AC73" i="11"/>
  <c r="Q73" i="11"/>
  <c r="P73" i="11"/>
  <c r="AD72" i="11"/>
  <c r="AC72" i="11"/>
  <c r="Q72" i="11"/>
  <c r="P72" i="11"/>
  <c r="AF71" i="11"/>
  <c r="AD71" i="11"/>
  <c r="AN71" i="11" s="1"/>
  <c r="AC71" i="11"/>
  <c r="S71" i="11"/>
  <c r="Q71" i="11"/>
  <c r="AA73" i="11" s="1"/>
  <c r="P71" i="11"/>
  <c r="AD69" i="11"/>
  <c r="AC69" i="11"/>
  <c r="Q69" i="11"/>
  <c r="P69" i="11"/>
  <c r="AD68" i="11"/>
  <c r="AC68" i="11"/>
  <c r="Q68" i="11"/>
  <c r="P68" i="11"/>
  <c r="AD67" i="11"/>
  <c r="AC67" i="11"/>
  <c r="Q67" i="11"/>
  <c r="P67" i="11"/>
  <c r="AF66" i="11"/>
  <c r="AD66" i="11"/>
  <c r="AC66" i="11"/>
  <c r="AF68" i="11" s="1"/>
  <c r="AG67" i="11" s="1"/>
  <c r="AH66" i="11" s="1"/>
  <c r="S66" i="11"/>
  <c r="Q66" i="11"/>
  <c r="AA68" i="11"/>
  <c r="P66" i="11"/>
  <c r="I59" i="11"/>
  <c r="H59" i="11"/>
  <c r="I58" i="11"/>
  <c r="H58" i="11"/>
  <c r="I57" i="11"/>
  <c r="H57" i="11"/>
  <c r="I56" i="11"/>
  <c r="H56" i="11"/>
  <c r="I55" i="11"/>
  <c r="H55" i="11"/>
  <c r="B15" i="11"/>
  <c r="B6" i="11"/>
  <c r="B9" i="11"/>
  <c r="B4" i="11"/>
  <c r="B3" i="11"/>
  <c r="B2" i="11"/>
  <c r="B1" i="11"/>
  <c r="E29" i="10"/>
  <c r="E28" i="10"/>
  <c r="E27" i="10"/>
  <c r="E26" i="10"/>
  <c r="E25" i="10"/>
  <c r="E24" i="10"/>
  <c r="E18" i="10"/>
  <c r="E17" i="10"/>
  <c r="E16" i="10"/>
  <c r="J15" i="10"/>
  <c r="E15" i="10"/>
  <c r="E28" i="9"/>
  <c r="E27" i="9"/>
  <c r="E26" i="9"/>
  <c r="E25" i="9"/>
  <c r="E24" i="9"/>
  <c r="E23" i="9"/>
  <c r="E17" i="9"/>
  <c r="E34" i="9" s="1"/>
  <c r="J16" i="9"/>
  <c r="E16" i="9"/>
  <c r="O15" i="9"/>
  <c r="N15" i="9"/>
  <c r="E15" i="9"/>
  <c r="F23" i="8"/>
  <c r="F22" i="8"/>
  <c r="J44" i="10"/>
  <c r="J42" i="10" s="1"/>
  <c r="F21" i="8"/>
  <c r="F20" i="8"/>
  <c r="F17" i="8"/>
  <c r="F16" i="8"/>
  <c r="J18" i="9"/>
  <c r="J34" i="9"/>
  <c r="E42" i="10"/>
  <c r="E45" i="10" s="1"/>
  <c r="E43" i="10"/>
  <c r="AH67" i="11"/>
  <c r="AG68" i="11"/>
  <c r="AH68" i="11"/>
  <c r="AH72" i="11"/>
  <c r="AG73" i="11" s="1"/>
  <c r="AN73" i="11"/>
  <c r="AA88" i="11"/>
  <c r="U89" i="11"/>
  <c r="AA89" i="11"/>
  <c r="AF67" i="11"/>
  <c r="AG66" i="11" s="1"/>
  <c r="AJ68" i="11" s="1"/>
  <c r="AF72" i="11"/>
  <c r="AG71" i="11" s="1"/>
  <c r="S88" i="11"/>
  <c r="T87" i="11"/>
  <c r="U67" i="11"/>
  <c r="T68" i="11" s="1"/>
  <c r="AA71" i="11"/>
  <c r="J19" i="9"/>
  <c r="Y89" i="11"/>
  <c r="E46" i="10" l="1"/>
  <c r="E50" i="10"/>
  <c r="AA66" i="11"/>
  <c r="AA67" i="11"/>
  <c r="W88" i="11"/>
  <c r="W87" i="11"/>
  <c r="X87" i="11"/>
  <c r="Y87" i="11"/>
  <c r="W89" i="11"/>
  <c r="X88" i="11"/>
  <c r="Y88" i="11"/>
  <c r="X89" i="11"/>
  <c r="J59" i="9"/>
  <c r="E21" i="10"/>
  <c r="E20" i="10"/>
  <c r="J16" i="10"/>
  <c r="AN67" i="11"/>
  <c r="AN66" i="11"/>
  <c r="AN68" i="11"/>
  <c r="J45" i="10"/>
  <c r="J43" i="10" s="1"/>
  <c r="J37" i="9"/>
  <c r="E19" i="9"/>
  <c r="J17" i="9"/>
  <c r="S73" i="11"/>
  <c r="T72" i="11" s="1"/>
  <c r="U71" i="11" s="1"/>
  <c r="U72" i="11"/>
  <c r="T73" i="11" s="1"/>
  <c r="S72" i="11"/>
  <c r="T71" i="11" s="1"/>
  <c r="W72" i="11" s="1"/>
  <c r="AA72" i="11"/>
  <c r="AJ66" i="11"/>
  <c r="AL68" i="11"/>
  <c r="AK66" i="11"/>
  <c r="AK68" i="11"/>
  <c r="AL66" i="11"/>
  <c r="AL67" i="11"/>
  <c r="AK67" i="11"/>
  <c r="AJ67" i="11"/>
  <c r="E49" i="10"/>
  <c r="AK71" i="11"/>
  <c r="AJ72" i="11"/>
  <c r="E35" i="9"/>
  <c r="E36" i="9" s="1"/>
  <c r="E38" i="9" s="1"/>
  <c r="Q25" i="9" s="1"/>
  <c r="U68" i="11"/>
  <c r="S67" i="11"/>
  <c r="T66" i="11" s="1"/>
  <c r="S68" i="11"/>
  <c r="T67" i="11" s="1"/>
  <c r="U66" i="11" s="1"/>
  <c r="U73" i="11"/>
  <c r="AF73" i="11"/>
  <c r="AG72" i="11" s="1"/>
  <c r="AH71" i="11" s="1"/>
  <c r="AK73" i="11" s="1"/>
  <c r="AN72" i="11"/>
  <c r="AH73" i="11"/>
  <c r="AN88" i="11"/>
  <c r="AF88" i="11"/>
  <c r="AG87" i="11" s="1"/>
  <c r="AG88" i="11"/>
  <c r="J21" i="44"/>
  <c r="G24" i="44" s="1"/>
  <c r="J18" i="44"/>
  <c r="D24" i="44" s="1"/>
  <c r="J22" i="44"/>
  <c r="H24" i="44" s="1"/>
  <c r="E17" i="44"/>
  <c r="G18" i="44"/>
  <c r="D21" i="44" s="1"/>
  <c r="G19" i="44"/>
  <c r="E21" i="44" s="1"/>
  <c r="K24" i="44"/>
  <c r="J25" i="44" s="1"/>
  <c r="K20" i="44"/>
  <c r="F25" i="44" s="1"/>
  <c r="K23" i="44"/>
  <c r="I25" i="44" s="1"/>
  <c r="K19" i="44"/>
  <c r="E25" i="44" s="1"/>
  <c r="K21" i="44"/>
  <c r="G25" i="44" s="1"/>
  <c r="K22" i="44"/>
  <c r="H25" i="44" s="1"/>
  <c r="K18" i="44"/>
  <c r="D25" i="44" s="1"/>
  <c r="K17" i="44"/>
  <c r="C25" i="44" s="1"/>
  <c r="E37" i="9" l="1"/>
  <c r="Q24" i="9" s="1"/>
  <c r="X73" i="11"/>
  <c r="AJ71" i="11"/>
  <c r="I68" i="11"/>
  <c r="I66" i="11"/>
  <c r="I67" i="11"/>
  <c r="W71" i="11"/>
  <c r="AK72" i="11"/>
  <c r="J31" i="10"/>
  <c r="J68" i="10"/>
  <c r="J17" i="10"/>
  <c r="E32" i="10"/>
  <c r="J26" i="10"/>
  <c r="J21" i="10"/>
  <c r="J18" i="10"/>
  <c r="M17" i="10" s="1"/>
  <c r="D88" i="11"/>
  <c r="D87" i="11"/>
  <c r="D89" i="11"/>
  <c r="AK87" i="11"/>
  <c r="AJ87" i="11"/>
  <c r="AK88" i="11"/>
  <c r="AJ88" i="11"/>
  <c r="W68" i="11"/>
  <c r="X66" i="11"/>
  <c r="Y67" i="11"/>
  <c r="Y68" i="11"/>
  <c r="X67" i="11"/>
  <c r="X68" i="11"/>
  <c r="W67" i="11"/>
  <c r="W66" i="11"/>
  <c r="Y66" i="11"/>
  <c r="AL71" i="11"/>
  <c r="X72" i="11"/>
  <c r="AL73" i="11"/>
  <c r="AJ73" i="11"/>
  <c r="Y72" i="11"/>
  <c r="Y73" i="11"/>
  <c r="W73" i="11"/>
  <c r="X71" i="11"/>
  <c r="Y71" i="11"/>
  <c r="J35" i="9"/>
  <c r="J22" i="9" s="1"/>
  <c r="AL72" i="11"/>
  <c r="C19" i="44"/>
  <c r="M19" i="44" s="1"/>
  <c r="F17" i="44"/>
  <c r="M18" i="44"/>
  <c r="J42" i="9" l="1"/>
  <c r="P27" i="10"/>
  <c r="P26" i="10"/>
  <c r="P25" i="10"/>
  <c r="P28" i="10"/>
  <c r="P23" i="10"/>
  <c r="P20" i="10"/>
  <c r="J27" i="10"/>
  <c r="P19" i="10"/>
  <c r="P22" i="10"/>
  <c r="P21" i="10"/>
  <c r="P24" i="10"/>
  <c r="I73" i="11"/>
  <c r="I72" i="11"/>
  <c r="I71" i="11"/>
  <c r="I87" i="11"/>
  <c r="I88" i="11"/>
  <c r="P35" i="10"/>
  <c r="E35" i="10"/>
  <c r="P34" i="10"/>
  <c r="P32" i="10"/>
  <c r="P30" i="10"/>
  <c r="P29" i="10"/>
  <c r="P38" i="10"/>
  <c r="J32" i="10"/>
  <c r="P36" i="10"/>
  <c r="P31" i="10"/>
  <c r="P33" i="10"/>
  <c r="P37" i="10"/>
  <c r="L17" i="10"/>
  <c r="J53" i="10"/>
  <c r="J54" i="10" s="1"/>
  <c r="M15" i="9"/>
  <c r="M16" i="9" s="1"/>
  <c r="J23" i="9"/>
  <c r="J45" i="9"/>
  <c r="J46" i="9" s="1"/>
  <c r="J47" i="9" s="1"/>
  <c r="J49" i="9"/>
  <c r="D68" i="11"/>
  <c r="D67" i="11"/>
  <c r="D66" i="11"/>
  <c r="J22" i="10"/>
  <c r="J57" i="10"/>
  <c r="J59" i="10" s="1"/>
  <c r="J60" i="10" s="1"/>
  <c r="J62" i="10" s="1"/>
  <c r="P15" i="10"/>
  <c r="E33" i="10"/>
  <c r="J58" i="10"/>
  <c r="D73" i="11"/>
  <c r="D72" i="11"/>
  <c r="D71" i="11"/>
  <c r="C20" i="44"/>
  <c r="M20" i="44" s="1"/>
  <c r="G17" i="44"/>
  <c r="J24" i="9" l="1"/>
  <c r="J28" i="9" s="1"/>
  <c r="I39" i="9" s="1"/>
  <c r="J27" i="9"/>
  <c r="R24" i="10"/>
  <c r="T24" i="10" s="1"/>
  <c r="Q24" i="10"/>
  <c r="S24" i="10" s="1"/>
  <c r="Q28" i="10"/>
  <c r="S28" i="10" s="1"/>
  <c r="R28" i="10"/>
  <c r="T28" i="10" s="1"/>
  <c r="J60" i="9"/>
  <c r="N16" i="9"/>
  <c r="M17" i="9"/>
  <c r="O16" i="9"/>
  <c r="R36" i="10"/>
  <c r="T36" i="10" s="1"/>
  <c r="Q36" i="10"/>
  <c r="S36" i="10" s="1"/>
  <c r="Q30" i="10"/>
  <c r="S30" i="10" s="1"/>
  <c r="R30" i="10"/>
  <c r="T30" i="10" s="1"/>
  <c r="R35" i="10"/>
  <c r="T35" i="10" s="1"/>
  <c r="Q35" i="10"/>
  <c r="S35" i="10" s="1"/>
  <c r="R21" i="10"/>
  <c r="T21" i="10" s="1"/>
  <c r="Q21" i="10"/>
  <c r="S21" i="10" s="1"/>
  <c r="R25" i="10"/>
  <c r="T25" i="10" s="1"/>
  <c r="Q25" i="10"/>
  <c r="S25" i="10" s="1"/>
  <c r="R31" i="10"/>
  <c r="T31" i="10" s="1"/>
  <c r="Q31" i="10"/>
  <c r="S31" i="10" s="1"/>
  <c r="Q29" i="10"/>
  <c r="S29" i="10" s="1"/>
  <c r="R29" i="10"/>
  <c r="T29" i="10" s="1"/>
  <c r="Q19" i="10"/>
  <c r="S19" i="10" s="1"/>
  <c r="J29" i="10" s="1"/>
  <c r="M19" i="10" s="1"/>
  <c r="R19" i="10"/>
  <c r="T19" i="10" s="1"/>
  <c r="J28" i="10" s="1"/>
  <c r="L19" i="10" s="1"/>
  <c r="J52" i="9"/>
  <c r="J50" i="9"/>
  <c r="J51" i="9" s="1"/>
  <c r="R37" i="10"/>
  <c r="T37" i="10" s="1"/>
  <c r="Q37" i="10"/>
  <c r="S37" i="10" s="1"/>
  <c r="Q32" i="10"/>
  <c r="S32" i="10" s="1"/>
  <c r="R32" i="10"/>
  <c r="T32" i="10" s="1"/>
  <c r="E37" i="10"/>
  <c r="E34" i="10"/>
  <c r="J69" i="10" s="1"/>
  <c r="R20" i="10"/>
  <c r="T20" i="10" s="1"/>
  <c r="Q20" i="10"/>
  <c r="S20" i="10" s="1"/>
  <c r="R26" i="10"/>
  <c r="T26" i="10" s="1"/>
  <c r="Q26" i="10"/>
  <c r="S26" i="10" s="1"/>
  <c r="Q15" i="10"/>
  <c r="S15" i="10" s="1"/>
  <c r="R15" i="10"/>
  <c r="T15" i="10" s="1"/>
  <c r="P16" i="10"/>
  <c r="Q33" i="10"/>
  <c r="S33" i="10" s="1"/>
  <c r="J34" i="10" s="1"/>
  <c r="M20" i="10" s="1"/>
  <c r="R33" i="10"/>
  <c r="T33" i="10" s="1"/>
  <c r="R38" i="10"/>
  <c r="T38" i="10" s="1"/>
  <c r="J33" i="10" s="1"/>
  <c r="L20" i="10" s="1"/>
  <c r="Q38" i="10"/>
  <c r="S38" i="10" s="1"/>
  <c r="R34" i="10"/>
  <c r="T34" i="10" s="1"/>
  <c r="Q34" i="10"/>
  <c r="S34" i="10" s="1"/>
  <c r="R22" i="10"/>
  <c r="T22" i="10" s="1"/>
  <c r="Q22" i="10"/>
  <c r="S22" i="10" s="1"/>
  <c r="R23" i="10"/>
  <c r="T23" i="10" s="1"/>
  <c r="Q23" i="10"/>
  <c r="S23" i="10" s="1"/>
  <c r="R27" i="10"/>
  <c r="T27" i="10" s="1"/>
  <c r="Q27" i="10"/>
  <c r="S27" i="10" s="1"/>
  <c r="C21" i="44"/>
  <c r="M21" i="44" s="1"/>
  <c r="M17" i="44"/>
  <c r="J70" i="10" l="1"/>
  <c r="J72" i="10" s="1"/>
  <c r="R16" i="10"/>
  <c r="T16" i="10" s="1"/>
  <c r="Q16" i="10"/>
  <c r="S16" i="10" s="1"/>
  <c r="P17" i="10"/>
  <c r="I46" i="10"/>
  <c r="J46" i="10" s="1"/>
  <c r="N20" i="44"/>
  <c r="M18" i="9"/>
  <c r="O17" i="9"/>
  <c r="N17" i="9"/>
  <c r="I38" i="9"/>
  <c r="J54" i="9"/>
  <c r="J55" i="9" s="1"/>
  <c r="K55" i="9" s="1"/>
  <c r="E40" i="9"/>
  <c r="F40" i="9" s="1"/>
  <c r="E39" i="9"/>
  <c r="F39" i="9" s="1"/>
  <c r="J61" i="9"/>
  <c r="J63" i="9"/>
  <c r="J39" i="9"/>
  <c r="R6" i="9"/>
  <c r="N17" i="44"/>
  <c r="N18" i="44"/>
  <c r="N19" i="44"/>
  <c r="N21" i="44"/>
  <c r="M19" i="9" l="1"/>
  <c r="N18" i="9"/>
  <c r="O18" i="9"/>
  <c r="P17" i="44"/>
  <c r="R32" i="44" s="1"/>
  <c r="R5" i="9"/>
  <c r="J38" i="9"/>
  <c r="R17" i="10"/>
  <c r="T17" i="10" s="1"/>
  <c r="P18" i="10"/>
  <c r="Q17" i="10"/>
  <c r="S17" i="10" s="1"/>
  <c r="P19" i="44"/>
  <c r="R34" i="44" s="1"/>
  <c r="F42" i="44" s="1"/>
  <c r="P18" i="44"/>
  <c r="R33" i="44" s="1"/>
  <c r="L42" i="44" s="1"/>
  <c r="P21" i="44"/>
  <c r="R36" i="44" s="1"/>
  <c r="P20" i="44"/>
  <c r="R35" i="44" s="1"/>
  <c r="E42" i="44" l="1"/>
  <c r="C42" i="44"/>
  <c r="D42" i="44"/>
  <c r="M20" i="9"/>
  <c r="O19" i="9"/>
  <c r="N19" i="9"/>
  <c r="H42" i="44"/>
  <c r="R18" i="10"/>
  <c r="T18" i="10" s="1"/>
  <c r="J23" i="10" s="1"/>
  <c r="L18" i="10" s="1"/>
  <c r="J36" i="10" s="1"/>
  <c r="Q18" i="10"/>
  <c r="S18" i="10" s="1"/>
  <c r="J24" i="10" s="1"/>
  <c r="M18" i="10" s="1"/>
  <c r="J37" i="10" s="1"/>
  <c r="J42" i="44"/>
  <c r="G42" i="44"/>
  <c r="M42" i="44"/>
  <c r="P42" i="44"/>
  <c r="N42" i="44"/>
  <c r="K42" i="44"/>
  <c r="Q42" i="44"/>
  <c r="I42" i="44"/>
  <c r="O42" i="44"/>
  <c r="O20" i="9" l="1"/>
  <c r="M21" i="9"/>
  <c r="N20" i="9"/>
  <c r="H43" i="44"/>
  <c r="I47" i="10"/>
  <c r="J47" i="10" s="1"/>
  <c r="E51" i="10"/>
  <c r="E54" i="10" s="1"/>
  <c r="F54" i="10" s="1"/>
  <c r="E47" i="10"/>
  <c r="I43" i="44"/>
  <c r="C43" i="44"/>
  <c r="J43" i="44"/>
  <c r="O43" i="44"/>
  <c r="F43" i="44"/>
  <c r="P43" i="44"/>
  <c r="L43" i="44"/>
  <c r="K43" i="44"/>
  <c r="M43" i="44"/>
  <c r="E43" i="44"/>
  <c r="Q43" i="44"/>
  <c r="N43" i="44"/>
  <c r="G43" i="44"/>
  <c r="D43" i="44"/>
  <c r="E53" i="10" l="1"/>
  <c r="F53" i="10" s="1"/>
  <c r="J50" i="10"/>
  <c r="J63" i="10" s="1"/>
  <c r="K63" i="10" s="1"/>
  <c r="N21" i="9"/>
  <c r="O21" i="9"/>
  <c r="M22" i="9"/>
  <c r="N22" i="9" l="1"/>
  <c r="O22" i="9"/>
  <c r="M23" i="9"/>
  <c r="M24" i="9" l="1"/>
  <c r="N23" i="9"/>
  <c r="O23" i="9"/>
  <c r="O24" i="9" l="1"/>
  <c r="M25" i="9"/>
  <c r="N24" i="9"/>
  <c r="M26" i="9" l="1"/>
  <c r="N25" i="9"/>
  <c r="O25" i="9"/>
  <c r="N26" i="9" l="1"/>
  <c r="M27" i="9"/>
  <c r="O26" i="9"/>
  <c r="O27" i="9" l="1"/>
  <c r="M28" i="9"/>
  <c r="N27" i="9"/>
  <c r="M29" i="9" l="1"/>
  <c r="O28" i="9"/>
  <c r="N28" i="9"/>
  <c r="M30" i="9" l="1"/>
  <c r="O29" i="9"/>
  <c r="N29" i="9"/>
  <c r="O30" i="9" l="1"/>
  <c r="N30" i="9"/>
</calcChain>
</file>

<file path=xl/comments1.xml><?xml version="1.0" encoding="utf-8"?>
<comments xmlns="http://schemas.openxmlformats.org/spreadsheetml/2006/main">
  <authors>
    <author>David J. Cloud</author>
  </authors>
  <commentList>
    <comment ref="R5" authorId="0" shapeId="0">
      <text>
        <r>
          <rPr>
            <sz val="8"/>
            <color indexed="81"/>
            <rFont val="Tahoma"/>
            <family val="2"/>
          </rPr>
          <t>Used to set Cell J5 equal to Cell I5</t>
        </r>
      </text>
    </comment>
    <comment ref="R6" authorId="0" shapeId="0">
      <text>
        <r>
          <rPr>
            <sz val="8"/>
            <color indexed="81"/>
            <rFont val="Times New Roman"/>
            <family val="1"/>
          </rPr>
          <t>Used to set Cell J5 equal to Cell I5</t>
        </r>
      </text>
    </comment>
    <comment ref="Q24" authorId="0" shapeId="0">
      <text>
        <r>
          <rPr>
            <sz val="8"/>
            <color indexed="81"/>
            <rFont val="Times New Roman"/>
            <family val="1"/>
          </rPr>
          <t>Used to set Cell J24 to zero</t>
        </r>
      </text>
    </comment>
    <comment ref="Q25" authorId="0" shapeId="0">
      <text>
        <r>
          <rPr>
            <sz val="8"/>
            <color indexed="81"/>
            <rFont val="Times New Roman"/>
            <family val="1"/>
          </rPr>
          <t>Used to set Cell J25 to zero</t>
        </r>
      </text>
    </comment>
  </commentList>
</comments>
</file>

<file path=xl/sharedStrings.xml><?xml version="1.0" encoding="utf-8"?>
<sst xmlns="http://schemas.openxmlformats.org/spreadsheetml/2006/main" count="705" uniqueCount="424">
  <si>
    <t>Mass</t>
  </si>
  <si>
    <t>+</t>
  </si>
  <si>
    <t>Power</t>
  </si>
  <si>
    <t>General Structure Inputs</t>
  </si>
  <si>
    <t>Structure Subsystem Heritage</t>
  </si>
  <si>
    <t>Type of Structure and Load Characteristics</t>
  </si>
  <si>
    <t>New design with advanced development</t>
  </si>
  <si>
    <t>Type of Structure</t>
  </si>
  <si>
    <t>Cylinder</t>
  </si>
  <si>
    <t>Prism</t>
  </si>
  <si>
    <t>Factor of safety (ultimate)</t>
  </si>
  <si>
    <t>-</t>
  </si>
  <si>
    <t>Factor of safety (yield)</t>
  </si>
  <si>
    <t>Inputs from OCDT</t>
  </si>
  <si>
    <t>a</t>
  </si>
  <si>
    <t>Axial acceleration load factor</t>
  </si>
  <si>
    <t>g's</t>
  </si>
  <si>
    <t>l</t>
  </si>
  <si>
    <t>Lateral acceleration load factor</t>
  </si>
  <si>
    <t>Minimum axial natural frequency</t>
  </si>
  <si>
    <t>Hz</t>
  </si>
  <si>
    <t>Minimum lateral natural frequency</t>
  </si>
  <si>
    <t>Stringer</t>
  </si>
  <si>
    <t>Moment arm (cm)</t>
  </si>
  <si>
    <t>Squared moment arm (cm2)</t>
  </si>
  <si>
    <t>Structure Characteristics</t>
  </si>
  <si>
    <t>H</t>
  </si>
  <si>
    <t>Cylinder height</t>
  </si>
  <si>
    <t>m</t>
  </si>
  <si>
    <t xml:space="preserve">Monocoque </t>
  </si>
  <si>
    <t>Cylinder radius</t>
  </si>
  <si>
    <t>t</t>
  </si>
  <si>
    <t>Skin thickness</t>
  </si>
  <si>
    <t>cm</t>
  </si>
  <si>
    <t>M</t>
  </si>
  <si>
    <t>Spacecraft mass</t>
  </si>
  <si>
    <t>kg</t>
  </si>
  <si>
    <t>Evaluated Spacecraft Areas</t>
  </si>
  <si>
    <t>Cross-sectional area (skin)</t>
  </si>
  <si>
    <t>cm^2</t>
  </si>
  <si>
    <t>Spacecraft projected area</t>
  </si>
  <si>
    <t>m^2</t>
  </si>
  <si>
    <t>cm^4</t>
  </si>
  <si>
    <t>Spacecraft surface area</t>
  </si>
  <si>
    <t xml:space="preserve">Semi-Monocoque </t>
  </si>
  <si>
    <t>Material</t>
  </si>
  <si>
    <t>Stringers</t>
  </si>
  <si>
    <t>Aluminium alloy</t>
  </si>
  <si>
    <t>N</t>
  </si>
  <si>
    <t>ρ</t>
  </si>
  <si>
    <t>Density</t>
  </si>
  <si>
    <t>kg/m3</t>
  </si>
  <si>
    <t>Cross-sectional area (each stringer)</t>
  </si>
  <si>
    <t>Ultimate tensile stress</t>
  </si>
  <si>
    <t>Mpa</t>
  </si>
  <si>
    <t>Moment of inertia (all stringers)</t>
  </si>
  <si>
    <t>E</t>
  </si>
  <si>
    <t>Young's modulus</t>
  </si>
  <si>
    <t>Gpa</t>
  </si>
  <si>
    <t>Yield tensile stress</t>
  </si>
  <si>
    <t>α</t>
  </si>
  <si>
    <t>Expansion coefficient</t>
  </si>
  <si>
    <t>m/K</t>
  </si>
  <si>
    <t>Total cross-sectional area</t>
  </si>
  <si>
    <t>ν</t>
  </si>
  <si>
    <t>Poisson's ratio</t>
  </si>
  <si>
    <t>Structure Requirements</t>
  </si>
  <si>
    <t>Buckling Coefficient</t>
  </si>
  <si>
    <t>Loads</t>
  </si>
  <si>
    <t>Stiffness</t>
  </si>
  <si>
    <t>For cylinder variable below 300</t>
  </si>
  <si>
    <t>For cylinder variable at or above 300</t>
  </si>
  <si>
    <t>Axial load</t>
  </si>
  <si>
    <t>Min cross-sectional area to meet axial natural frequency</t>
  </si>
  <si>
    <t>Buckling</t>
  </si>
  <si>
    <t>Curve Fit</t>
  </si>
  <si>
    <t>Bending moment</t>
  </si>
  <si>
    <t>N-m</t>
  </si>
  <si>
    <t>Min moment of inertia to meet axial natural frequency</t>
  </si>
  <si>
    <t>Variable</t>
  </si>
  <si>
    <t>Coeff</t>
  </si>
  <si>
    <t>Coefficients</t>
  </si>
  <si>
    <t>Equivalent axial load</t>
  </si>
  <si>
    <t>Ultimate load</t>
  </si>
  <si>
    <t>Yield load</t>
  </si>
  <si>
    <t>Actual axial natural frequency</t>
  </si>
  <si>
    <t>Margin of safety (ultimate)</t>
  </si>
  <si>
    <t>Actual lateral natural frequency</t>
  </si>
  <si>
    <t>Margin of safety (yield)</t>
  </si>
  <si>
    <t>Stability</t>
  </si>
  <si>
    <t>No stringers (Monocoque)</t>
  </si>
  <si>
    <t>φ</t>
  </si>
  <si>
    <t>Geometric parameter</t>
  </si>
  <si>
    <t>γ</t>
  </si>
  <si>
    <t>Reduction factor</t>
  </si>
  <si>
    <t>Buckling stress</t>
  </si>
  <si>
    <t>Pa</t>
  </si>
  <si>
    <t>Stringers (Semi- Monocoque)</t>
  </si>
  <si>
    <t>b</t>
  </si>
  <si>
    <t>Panel width</t>
  </si>
  <si>
    <t>z</t>
  </si>
  <si>
    <t>Cylinder variable</t>
  </si>
  <si>
    <t>k</t>
  </si>
  <si>
    <t>Buckling coefficient</t>
  </si>
  <si>
    <t>Critical buckling load</t>
  </si>
  <si>
    <t>Initial value</t>
  </si>
  <si>
    <t>Mass Estimation</t>
  </si>
  <si>
    <t>Skin</t>
  </si>
  <si>
    <t>Ring frames &amp; fasteners</t>
  </si>
  <si>
    <t>Outputs to OCDT</t>
  </si>
  <si>
    <t>Total Cyliner Mass</t>
  </si>
  <si>
    <t>c</t>
  </si>
  <si>
    <t>Prism height</t>
  </si>
  <si>
    <t>Corners</t>
  </si>
  <si>
    <t>W</t>
  </si>
  <si>
    <t>Prism width</t>
  </si>
  <si>
    <t>Ix</t>
  </si>
  <si>
    <t>Iy</t>
  </si>
  <si>
    <t>L</t>
  </si>
  <si>
    <t>Prism length</t>
  </si>
  <si>
    <t>Moment of inertia along the x axis (skin)</t>
  </si>
  <si>
    <t>Moment of inertia along the y axis (skin)</t>
  </si>
  <si>
    <t>Corner stringers</t>
  </si>
  <si>
    <t>Length stringers</t>
  </si>
  <si>
    <t>Length</t>
  </si>
  <si>
    <t>Width stringers</t>
  </si>
  <si>
    <t>Number of stringers at corners</t>
  </si>
  <si>
    <t>Cross-sectional area (each corner stringer)</t>
  </si>
  <si>
    <t>Moment of inertia along the x axis (all corner stringers)</t>
  </si>
  <si>
    <t>Moment of inertia along the y axis (all corner stringers)</t>
  </si>
  <si>
    <t>Number of stringers along length (per side)</t>
  </si>
  <si>
    <t>Cross-sectional area (each length stringer)</t>
  </si>
  <si>
    <t>Moment of inertia along the x axis (all length stringers)</t>
  </si>
  <si>
    <t>Moment of inertia along the y axis (all length stringers)</t>
  </si>
  <si>
    <t>Width</t>
  </si>
  <si>
    <t>Total cross sectional area</t>
  </si>
  <si>
    <t>Number of stringers along width (per side)</t>
  </si>
  <si>
    <t>Cross-sectional area (each width stringer)</t>
  </si>
  <si>
    <t>All corner stringers</t>
  </si>
  <si>
    <t>Moment of inertia along the x axis (all width stringers)</t>
  </si>
  <si>
    <t>All length stringers</t>
  </si>
  <si>
    <t>Moment of inertia along the y axis (all width stringers)</t>
  </si>
  <si>
    <t>All width stringers</t>
  </si>
  <si>
    <t>Total moment of inertia along the x axis</t>
  </si>
  <si>
    <t>Total moment of inertia along the y axis</t>
  </si>
  <si>
    <t>Ultimate axial load</t>
  </si>
  <si>
    <t>Ultimate bending moment</t>
  </si>
  <si>
    <t>Maximum stress on structure (Ultimate)</t>
  </si>
  <si>
    <t>Yield axial load</t>
  </si>
  <si>
    <t>Yield bending moment</t>
  </si>
  <si>
    <t>Maximum stress on structure (Yield)</t>
  </si>
  <si>
    <t xml:space="preserve">                    No stringers</t>
  </si>
  <si>
    <t>Critical buckling stress</t>
  </si>
  <si>
    <t xml:space="preserve">                    Stringers</t>
  </si>
  <si>
    <t>Panel width along length</t>
  </si>
  <si>
    <t>Panel width along width</t>
  </si>
  <si>
    <t>Maximum panel width</t>
  </si>
  <si>
    <t>Panel buckling stress</t>
  </si>
  <si>
    <t>Speed of Light</t>
  </si>
  <si>
    <t>m/s</t>
  </si>
  <si>
    <t>Planck's Constant</t>
  </si>
  <si>
    <t>W-s^2</t>
  </si>
  <si>
    <t>Boltzmann's Constant</t>
  </si>
  <si>
    <t>W-s/K</t>
  </si>
  <si>
    <t>Stefan-Boltzmann Constant</t>
  </si>
  <si>
    <t>W/m^2/K^4</t>
  </si>
  <si>
    <t>Earth Radius</t>
  </si>
  <si>
    <t>km</t>
  </si>
  <si>
    <t>Earth Gravitational Constant</t>
  </si>
  <si>
    <t>km^3/sec^2</t>
  </si>
  <si>
    <t>Earth - J2</t>
  </si>
  <si>
    <t>Earth Velocity at Equator</t>
  </si>
  <si>
    <t>Earth's Magnetic Moment</t>
  </si>
  <si>
    <t>tesla-m^2</t>
  </si>
  <si>
    <t>Average Solar Flux</t>
  </si>
  <si>
    <t>W/m^2</t>
  </si>
  <si>
    <t>Rain Temperature</t>
  </si>
  <si>
    <t>K</t>
  </si>
  <si>
    <t>Conversion from inches to meters</t>
  </si>
  <si>
    <t>Density (kg/m3)</t>
  </si>
  <si>
    <t>Ultimate tensile stress (MPa)</t>
  </si>
  <si>
    <t>Young's modulus (GPa)</t>
  </si>
  <si>
    <t>Yield tensile stress (MPa)</t>
  </si>
  <si>
    <t>Expansion coefficient (m/K)</t>
  </si>
  <si>
    <t>Titanium alloy</t>
  </si>
  <si>
    <t>Magnesium alloy</t>
  </si>
  <si>
    <t>Beryllium</t>
  </si>
  <si>
    <t>1D glass fiber</t>
  </si>
  <si>
    <t>1D Boron fiber</t>
  </si>
  <si>
    <t>Other 1</t>
  </si>
  <si>
    <t>Other 2</t>
  </si>
  <si>
    <t>Other 3</t>
  </si>
  <si>
    <t>Mass Distribution for Selected Spacecraft (see SMAD, Table A-2, p 896)</t>
  </si>
  <si>
    <t>Percentage of</t>
  </si>
  <si>
    <t>S/C dry mass</t>
  </si>
  <si>
    <t>Payload</t>
  </si>
  <si>
    <t>TT&amp;C</t>
  </si>
  <si>
    <t>Structure</t>
  </si>
  <si>
    <t>ADCS</t>
  </si>
  <si>
    <t>Thermal</t>
  </si>
  <si>
    <t>Propulsion</t>
  </si>
  <si>
    <t>Typical Power Consumption (see SMAD, Table 10-9, p 316)</t>
  </si>
  <si>
    <t>Percent of Operating Power</t>
  </si>
  <si>
    <t>Min</t>
  </si>
  <si>
    <t>Max</t>
  </si>
  <si>
    <t>Attitude Control</t>
  </si>
  <si>
    <t>Communications</t>
  </si>
  <si>
    <t>C&amp;DH</t>
  </si>
  <si>
    <t>ADCS Sensor Sizing (see SMAD, Table 10-20, p 327)</t>
  </si>
  <si>
    <t>% between</t>
  </si>
  <si>
    <t>Min Mass</t>
  </si>
  <si>
    <t>Max Mass</t>
  </si>
  <si>
    <t>Min Power</t>
  </si>
  <si>
    <t>Max Power</t>
  </si>
  <si>
    <t>min &amp; max</t>
  </si>
  <si>
    <t>Mass (kg)</t>
  </si>
  <si>
    <t>Power (W)</t>
  </si>
  <si>
    <t>Earth Sensor</t>
  </si>
  <si>
    <t>Sun Sensor</t>
  </si>
  <si>
    <t>Star Sensor</t>
  </si>
  <si>
    <t>Magnetometer</t>
  </si>
  <si>
    <t>Gyroscope</t>
  </si>
  <si>
    <t>Communications - Amplifiers  (see SMAD, Fig 13-15, p 575)</t>
  </si>
  <si>
    <t>Output</t>
  </si>
  <si>
    <t>Input</t>
  </si>
  <si>
    <t>DT D</t>
  </si>
  <si>
    <t>(DT D)^-1</t>
  </si>
  <si>
    <t>DT y</t>
  </si>
  <si>
    <t>SSPA</t>
  </si>
  <si>
    <t>TWTA</t>
  </si>
  <si>
    <t>Secondary Batteries - Depth-of-Discharge vs. Cycle Life  (see SMAD, Fig 11-11, p 421)</t>
  </si>
  <si>
    <t>Nickel-Hydrogen</t>
  </si>
  <si>
    <t xml:space="preserve">DOD = </t>
  </si>
  <si>
    <t>log10(cycles)</t>
  </si>
  <si>
    <t>Nickel-Cadmium</t>
  </si>
  <si>
    <t>Buckling Coefficient (see SMAD, Fig 11-35, p 479)</t>
  </si>
  <si>
    <t xml:space="preserve"> </t>
  </si>
  <si>
    <t>Inflation Factors (see SMAD, Table 20-1, p 791)</t>
  </si>
  <si>
    <t>Fiscal</t>
  </si>
  <si>
    <t>Inflation</t>
  </si>
  <si>
    <t>Year</t>
  </si>
  <si>
    <t>Factor to</t>
  </si>
  <si>
    <t>Base Year 2000</t>
  </si>
  <si>
    <t>Small Satellite Cost Breakdown  (see SMAD, Table 20-9, p 799)</t>
  </si>
  <si>
    <t>Fraction of</t>
  </si>
  <si>
    <t>Non-Recurring</t>
  </si>
  <si>
    <t>Recurring</t>
  </si>
  <si>
    <t>S/C Bus Cost</t>
  </si>
  <si>
    <t>Percentage</t>
  </si>
  <si>
    <t>Spacecraft Bus</t>
  </si>
  <si>
    <t>Integration Assembly &amp; Test</t>
  </si>
  <si>
    <t>Program Level</t>
  </si>
  <si>
    <t>Ground Support Equipment</t>
  </si>
  <si>
    <t>Launch &amp; Orbital Ops Support</t>
  </si>
  <si>
    <t>Heritage Cost Factors  (see SMAD, Table 20-8, p 798)</t>
  </si>
  <si>
    <t>Nominal new design</t>
  </si>
  <si>
    <t>Major modification to existing design</t>
  </si>
  <si>
    <t>Moderate modifications to existing design</t>
  </si>
  <si>
    <t>Basically existing design</t>
  </si>
  <si>
    <t>Total Prim Mass</t>
  </si>
  <si>
    <t>Prism Margin of safety</t>
  </si>
  <si>
    <t>Name</t>
  </si>
  <si>
    <t>Date</t>
  </si>
  <si>
    <t>File version</t>
  </si>
  <si>
    <t>Sheet Name</t>
  </si>
  <si>
    <t>Change</t>
  </si>
  <si>
    <t>Reason for Change</t>
  </si>
  <si>
    <t>Cylinder Skin thickness</t>
  </si>
  <si>
    <t>Cylinder Radius to thickness ratio</t>
  </si>
  <si>
    <t>Cylinder Cross-sectional area (skin)</t>
  </si>
  <si>
    <t>Cylinder Moment of inertia (skin)</t>
  </si>
  <si>
    <t>Cylinder Number of stringers</t>
  </si>
  <si>
    <t>Cylinder Total moment of inertia</t>
  </si>
  <si>
    <t>Cylinder Margin of safety (ultimate)</t>
  </si>
  <si>
    <t>Cylinder Margin of safety (yield)</t>
  </si>
  <si>
    <t>Cylinder Ultimate load</t>
  </si>
  <si>
    <t>Cylinder Critical buckling load</t>
  </si>
  <si>
    <t>Cylinder Cylinder Margin of safety</t>
  </si>
  <si>
    <t>Cylinder Actual lateral natural frequency</t>
  </si>
  <si>
    <t>Cylinder Actual axial natural frequency</t>
  </si>
  <si>
    <r>
      <t>R</t>
    </r>
    <r>
      <rPr>
        <i/>
        <vertAlign val="subscript"/>
        <sz val="14"/>
        <rFont val="Times New Roman"/>
        <family val="1"/>
      </rPr>
      <t>0</t>
    </r>
  </si>
  <si>
    <r>
      <t>R</t>
    </r>
    <r>
      <rPr>
        <i/>
        <vertAlign val="subscript"/>
        <sz val="14"/>
        <rFont val="Times New Roman"/>
        <family val="1"/>
      </rPr>
      <t>0</t>
    </r>
    <r>
      <rPr>
        <i/>
        <sz val="14"/>
        <rFont val="Times New Roman"/>
        <family val="1"/>
      </rPr>
      <t>/t</t>
    </r>
  </si>
  <si>
    <r>
      <t>A</t>
    </r>
    <r>
      <rPr>
        <i/>
        <vertAlign val="subscript"/>
        <sz val="14"/>
        <rFont val="Times New Roman"/>
        <family val="1"/>
      </rPr>
      <t>s</t>
    </r>
  </si>
  <si>
    <r>
      <t>A</t>
    </r>
    <r>
      <rPr>
        <i/>
        <vertAlign val="subscript"/>
        <sz val="14"/>
        <rFont val="Times New Roman"/>
        <family val="1"/>
      </rPr>
      <t>2D</t>
    </r>
  </si>
  <si>
    <r>
      <t>I</t>
    </r>
    <r>
      <rPr>
        <i/>
        <vertAlign val="subscript"/>
        <sz val="14"/>
        <rFont val="Times New Roman"/>
        <family val="1"/>
      </rPr>
      <t>s</t>
    </r>
  </si>
  <si>
    <r>
      <t>A</t>
    </r>
    <r>
      <rPr>
        <i/>
        <vertAlign val="subscript"/>
        <sz val="14"/>
        <rFont val="Times New Roman"/>
        <family val="1"/>
      </rPr>
      <t>3D</t>
    </r>
  </si>
  <si>
    <r>
      <t>A</t>
    </r>
    <r>
      <rPr>
        <i/>
        <vertAlign val="subscript"/>
        <sz val="14"/>
        <rFont val="Times New Roman"/>
        <family val="1"/>
      </rPr>
      <t>1st</t>
    </r>
  </si>
  <si>
    <r>
      <t>σ</t>
    </r>
    <r>
      <rPr>
        <i/>
        <vertAlign val="subscript"/>
        <sz val="14"/>
        <rFont val="Times New Roman"/>
        <family val="1"/>
      </rPr>
      <t>u</t>
    </r>
  </si>
  <si>
    <r>
      <t>I</t>
    </r>
    <r>
      <rPr>
        <i/>
        <vertAlign val="subscript"/>
        <sz val="14"/>
        <rFont val="Times New Roman"/>
        <family val="1"/>
      </rPr>
      <t>sts</t>
    </r>
  </si>
  <si>
    <r>
      <t>σ</t>
    </r>
    <r>
      <rPr>
        <i/>
        <vertAlign val="subscript"/>
        <sz val="14"/>
        <rFont val="Times New Roman"/>
        <family val="1"/>
      </rPr>
      <t>e</t>
    </r>
  </si>
  <si>
    <r>
      <t>A</t>
    </r>
    <r>
      <rPr>
        <i/>
        <vertAlign val="subscript"/>
        <sz val="14"/>
        <rFont val="Times New Roman"/>
        <family val="1"/>
      </rPr>
      <t>T</t>
    </r>
  </si>
  <si>
    <r>
      <t>I</t>
    </r>
    <r>
      <rPr>
        <i/>
        <vertAlign val="subscript"/>
        <sz val="14"/>
        <rFont val="Times New Roman"/>
        <family val="1"/>
      </rPr>
      <t>T</t>
    </r>
  </si>
  <si>
    <r>
      <t>P</t>
    </r>
    <r>
      <rPr>
        <i/>
        <vertAlign val="subscript"/>
        <sz val="14"/>
        <rFont val="Times New Roman"/>
        <family val="1"/>
      </rPr>
      <t>a</t>
    </r>
  </si>
  <si>
    <r>
      <t>A</t>
    </r>
    <r>
      <rPr>
        <i/>
        <vertAlign val="subscript"/>
        <sz val="14"/>
        <rFont val="Times New Roman"/>
        <family val="1"/>
      </rPr>
      <t>min</t>
    </r>
  </si>
  <si>
    <r>
      <t>M</t>
    </r>
    <r>
      <rPr>
        <i/>
        <vertAlign val="subscript"/>
        <sz val="14"/>
        <rFont val="Times New Roman"/>
        <family val="1"/>
      </rPr>
      <t>b</t>
    </r>
  </si>
  <si>
    <r>
      <t>I</t>
    </r>
    <r>
      <rPr>
        <i/>
        <vertAlign val="subscript"/>
        <sz val="14"/>
        <rFont val="Times New Roman"/>
        <family val="1"/>
      </rPr>
      <t>min</t>
    </r>
  </si>
  <si>
    <r>
      <t>P</t>
    </r>
    <r>
      <rPr>
        <i/>
        <vertAlign val="subscript"/>
        <sz val="14"/>
        <rFont val="Times New Roman"/>
        <family val="1"/>
      </rPr>
      <t>eq</t>
    </r>
  </si>
  <si>
    <r>
      <t>ω</t>
    </r>
    <r>
      <rPr>
        <i/>
        <vertAlign val="subscript"/>
        <sz val="14"/>
        <rFont val="Times New Roman"/>
        <family val="1"/>
      </rPr>
      <t>a min</t>
    </r>
  </si>
  <si>
    <r>
      <t>P</t>
    </r>
    <r>
      <rPr>
        <i/>
        <vertAlign val="subscript"/>
        <sz val="14"/>
        <rFont val="Times New Roman"/>
        <family val="1"/>
      </rPr>
      <t>u</t>
    </r>
  </si>
  <si>
    <r>
      <t>ω</t>
    </r>
    <r>
      <rPr>
        <i/>
        <vertAlign val="subscript"/>
        <sz val="14"/>
        <rFont val="Times New Roman"/>
        <family val="1"/>
      </rPr>
      <t>l min</t>
    </r>
  </si>
  <si>
    <r>
      <t>P</t>
    </r>
    <r>
      <rPr>
        <i/>
        <vertAlign val="subscript"/>
        <sz val="14"/>
        <rFont val="Times New Roman"/>
        <family val="1"/>
      </rPr>
      <t>e</t>
    </r>
  </si>
  <si>
    <r>
      <t>ω</t>
    </r>
    <r>
      <rPr>
        <i/>
        <vertAlign val="subscript"/>
        <sz val="14"/>
        <rFont val="Times New Roman"/>
        <family val="1"/>
      </rPr>
      <t>a</t>
    </r>
  </si>
  <si>
    <r>
      <t>MoS</t>
    </r>
    <r>
      <rPr>
        <i/>
        <vertAlign val="subscript"/>
        <sz val="14"/>
        <rFont val="Times New Roman"/>
        <family val="1"/>
      </rPr>
      <t>u</t>
    </r>
  </si>
  <si>
    <r>
      <t>ω</t>
    </r>
    <r>
      <rPr>
        <i/>
        <vertAlign val="subscript"/>
        <sz val="14"/>
        <rFont val="Times New Roman"/>
        <family val="1"/>
      </rPr>
      <t>l</t>
    </r>
  </si>
  <si>
    <r>
      <t>MoS</t>
    </r>
    <r>
      <rPr>
        <i/>
        <vertAlign val="subscript"/>
        <sz val="14"/>
        <rFont val="Times New Roman"/>
        <family val="1"/>
      </rPr>
      <t>e</t>
    </r>
  </si>
  <si>
    <r>
      <t>σ</t>
    </r>
    <r>
      <rPr>
        <i/>
        <vertAlign val="subscript"/>
        <sz val="14"/>
        <rFont val="Times New Roman"/>
        <family val="1"/>
      </rPr>
      <t>cr</t>
    </r>
  </si>
  <si>
    <r>
      <t>P</t>
    </r>
    <r>
      <rPr>
        <i/>
        <vertAlign val="subscript"/>
        <sz val="14"/>
        <rFont val="Times New Roman"/>
        <family val="1"/>
      </rPr>
      <t>cr</t>
    </r>
  </si>
  <si>
    <r>
      <t>MoS</t>
    </r>
    <r>
      <rPr>
        <i/>
        <vertAlign val="subscript"/>
        <sz val="14"/>
        <rFont val="Times New Roman"/>
        <family val="1"/>
      </rPr>
      <t>cr</t>
    </r>
  </si>
  <si>
    <r>
      <t>m</t>
    </r>
    <r>
      <rPr>
        <i/>
        <vertAlign val="subscript"/>
        <sz val="14"/>
        <rFont val="Times New Roman"/>
        <family val="1"/>
      </rPr>
      <t>s</t>
    </r>
  </si>
  <si>
    <r>
      <t>m</t>
    </r>
    <r>
      <rPr>
        <i/>
        <vertAlign val="subscript"/>
        <sz val="14"/>
        <rFont val="Times New Roman"/>
        <family val="1"/>
      </rPr>
      <t>sts</t>
    </r>
  </si>
  <si>
    <r>
      <t>m</t>
    </r>
    <r>
      <rPr>
        <i/>
        <vertAlign val="subscript"/>
        <sz val="14"/>
        <rFont val="Times New Roman"/>
        <family val="1"/>
      </rPr>
      <t>rf</t>
    </r>
  </si>
  <si>
    <r>
      <t>m</t>
    </r>
    <r>
      <rPr>
        <i/>
        <vertAlign val="subscript"/>
        <sz val="14"/>
        <rFont val="Times New Roman"/>
        <family val="1"/>
      </rPr>
      <t>T</t>
    </r>
  </si>
  <si>
    <r>
      <t>x (m) = d</t>
    </r>
    <r>
      <rPr>
        <b/>
        <vertAlign val="subscript"/>
        <sz val="14"/>
        <rFont val="Times New Roman"/>
        <family val="1"/>
      </rPr>
      <t>y</t>
    </r>
  </si>
  <si>
    <r>
      <t>y (m) = d</t>
    </r>
    <r>
      <rPr>
        <b/>
        <vertAlign val="subscript"/>
        <sz val="14"/>
        <rFont val="Times New Roman"/>
        <family val="1"/>
      </rPr>
      <t>x</t>
    </r>
  </si>
  <si>
    <r>
      <t>x</t>
    </r>
    <r>
      <rPr>
        <b/>
        <vertAlign val="superscript"/>
        <sz val="14"/>
        <rFont val="Times New Roman"/>
        <family val="1"/>
      </rPr>
      <t>2</t>
    </r>
    <r>
      <rPr>
        <b/>
        <sz val="14"/>
        <rFont val="Times New Roman"/>
        <family val="1"/>
      </rPr>
      <t xml:space="preserve"> (m) = d</t>
    </r>
    <r>
      <rPr>
        <b/>
        <vertAlign val="subscript"/>
        <sz val="14"/>
        <rFont val="Times New Roman"/>
        <family val="1"/>
      </rPr>
      <t>y</t>
    </r>
    <r>
      <rPr>
        <b/>
        <vertAlign val="superscript"/>
        <sz val="14"/>
        <rFont val="Times New Roman"/>
        <family val="1"/>
      </rPr>
      <t>2</t>
    </r>
  </si>
  <si>
    <r>
      <t>y</t>
    </r>
    <r>
      <rPr>
        <b/>
        <vertAlign val="superscript"/>
        <sz val="14"/>
        <rFont val="Times New Roman"/>
        <family val="1"/>
      </rPr>
      <t>2</t>
    </r>
    <r>
      <rPr>
        <b/>
        <sz val="14"/>
        <rFont val="Times New Roman"/>
        <family val="1"/>
      </rPr>
      <t xml:space="preserve"> (m) = d</t>
    </r>
    <r>
      <rPr>
        <b/>
        <vertAlign val="subscript"/>
        <sz val="14"/>
        <rFont val="Times New Roman"/>
        <family val="1"/>
      </rPr>
      <t>x</t>
    </r>
    <r>
      <rPr>
        <b/>
        <vertAlign val="superscript"/>
        <sz val="14"/>
        <rFont val="Times New Roman"/>
        <family val="1"/>
      </rPr>
      <t>2</t>
    </r>
  </si>
  <si>
    <r>
      <t>I</t>
    </r>
    <r>
      <rPr>
        <i/>
        <vertAlign val="subscript"/>
        <sz val="14"/>
        <rFont val="Times New Roman"/>
        <family val="1"/>
      </rPr>
      <t>sx</t>
    </r>
  </si>
  <si>
    <r>
      <t>I</t>
    </r>
    <r>
      <rPr>
        <i/>
        <vertAlign val="subscript"/>
        <sz val="14"/>
        <rFont val="Times New Roman"/>
        <family val="1"/>
      </rPr>
      <t>sy</t>
    </r>
  </si>
  <si>
    <r>
      <t>N</t>
    </r>
    <r>
      <rPr>
        <i/>
        <vertAlign val="subscript"/>
        <sz val="14"/>
        <rFont val="Times New Roman"/>
        <family val="1"/>
      </rPr>
      <t>c</t>
    </r>
  </si>
  <si>
    <r>
      <t>A</t>
    </r>
    <r>
      <rPr>
        <i/>
        <vertAlign val="subscript"/>
        <sz val="14"/>
        <rFont val="Times New Roman"/>
        <family val="1"/>
      </rPr>
      <t>1stc</t>
    </r>
  </si>
  <si>
    <r>
      <t>I</t>
    </r>
    <r>
      <rPr>
        <i/>
        <vertAlign val="subscript"/>
        <sz val="14"/>
        <rFont val="Times New Roman"/>
        <family val="1"/>
      </rPr>
      <t>stcx</t>
    </r>
  </si>
  <si>
    <r>
      <t>I</t>
    </r>
    <r>
      <rPr>
        <i/>
        <vertAlign val="subscript"/>
        <sz val="14"/>
        <rFont val="Times New Roman"/>
        <family val="1"/>
      </rPr>
      <t>stcy</t>
    </r>
  </si>
  <si>
    <r>
      <t>N</t>
    </r>
    <r>
      <rPr>
        <i/>
        <vertAlign val="subscript"/>
        <sz val="14"/>
        <rFont val="Times New Roman"/>
        <family val="1"/>
      </rPr>
      <t>l</t>
    </r>
  </si>
  <si>
    <r>
      <t>A</t>
    </r>
    <r>
      <rPr>
        <i/>
        <vertAlign val="subscript"/>
        <sz val="14"/>
        <rFont val="Times New Roman"/>
        <family val="1"/>
      </rPr>
      <t>1stl</t>
    </r>
  </si>
  <si>
    <r>
      <t>I</t>
    </r>
    <r>
      <rPr>
        <i/>
        <vertAlign val="subscript"/>
        <sz val="14"/>
        <rFont val="Times New Roman"/>
        <family val="1"/>
      </rPr>
      <t>stlx</t>
    </r>
  </si>
  <si>
    <r>
      <t>I</t>
    </r>
    <r>
      <rPr>
        <i/>
        <vertAlign val="subscript"/>
        <sz val="14"/>
        <rFont val="Times New Roman"/>
        <family val="1"/>
      </rPr>
      <t>stly</t>
    </r>
  </si>
  <si>
    <r>
      <t>N</t>
    </r>
    <r>
      <rPr>
        <i/>
        <vertAlign val="subscript"/>
        <sz val="14"/>
        <rFont val="Times New Roman"/>
        <family val="1"/>
      </rPr>
      <t>w</t>
    </r>
  </si>
  <si>
    <r>
      <t>A</t>
    </r>
    <r>
      <rPr>
        <i/>
        <vertAlign val="subscript"/>
        <sz val="14"/>
        <rFont val="Times New Roman"/>
        <family val="1"/>
      </rPr>
      <t>1stw</t>
    </r>
  </si>
  <si>
    <r>
      <t>A</t>
    </r>
    <r>
      <rPr>
        <i/>
        <vertAlign val="subscript"/>
        <sz val="14"/>
        <rFont val="Times New Roman"/>
        <family val="1"/>
      </rPr>
      <t>stc</t>
    </r>
  </si>
  <si>
    <r>
      <t>I</t>
    </r>
    <r>
      <rPr>
        <i/>
        <vertAlign val="subscript"/>
        <sz val="14"/>
        <rFont val="Times New Roman"/>
        <family val="1"/>
      </rPr>
      <t>stwx</t>
    </r>
  </si>
  <si>
    <r>
      <t>A</t>
    </r>
    <r>
      <rPr>
        <i/>
        <vertAlign val="subscript"/>
        <sz val="14"/>
        <rFont val="Times New Roman"/>
        <family val="1"/>
      </rPr>
      <t>stl</t>
    </r>
  </si>
  <si>
    <r>
      <t>I</t>
    </r>
    <r>
      <rPr>
        <i/>
        <vertAlign val="subscript"/>
        <sz val="14"/>
        <rFont val="Times New Roman"/>
        <family val="1"/>
      </rPr>
      <t>stwy</t>
    </r>
  </si>
  <si>
    <r>
      <t>A</t>
    </r>
    <r>
      <rPr>
        <i/>
        <vertAlign val="subscript"/>
        <sz val="14"/>
        <rFont val="Times New Roman"/>
        <family val="1"/>
      </rPr>
      <t>stw</t>
    </r>
  </si>
  <si>
    <r>
      <t>I</t>
    </r>
    <r>
      <rPr>
        <i/>
        <vertAlign val="subscript"/>
        <sz val="14"/>
        <rFont val="Times New Roman"/>
        <family val="1"/>
      </rPr>
      <t>Tx</t>
    </r>
  </si>
  <si>
    <r>
      <t>I</t>
    </r>
    <r>
      <rPr>
        <i/>
        <vertAlign val="subscript"/>
        <sz val="14"/>
        <rFont val="Times New Roman"/>
        <family val="1"/>
      </rPr>
      <t>Ty</t>
    </r>
  </si>
  <si>
    <r>
      <t>ω</t>
    </r>
    <r>
      <rPr>
        <i/>
        <vertAlign val="subscript"/>
        <sz val="14"/>
        <rFont val="Times New Roman"/>
        <family val="1"/>
      </rPr>
      <t>amin</t>
    </r>
  </si>
  <si>
    <r>
      <t>ω</t>
    </r>
    <r>
      <rPr>
        <i/>
        <vertAlign val="subscript"/>
        <sz val="14"/>
        <rFont val="Times New Roman"/>
        <family val="1"/>
      </rPr>
      <t>lmin</t>
    </r>
  </si>
  <si>
    <r>
      <t>M</t>
    </r>
    <r>
      <rPr>
        <i/>
        <vertAlign val="subscript"/>
        <sz val="14"/>
        <rFont val="Times New Roman"/>
        <family val="1"/>
      </rPr>
      <t>bu</t>
    </r>
  </si>
  <si>
    <r>
      <t>σ</t>
    </r>
    <r>
      <rPr>
        <i/>
        <vertAlign val="subscript"/>
        <sz val="14"/>
        <rFont val="Times New Roman"/>
        <family val="1"/>
      </rPr>
      <t>umax</t>
    </r>
  </si>
  <si>
    <r>
      <t>M</t>
    </r>
    <r>
      <rPr>
        <i/>
        <vertAlign val="subscript"/>
        <sz val="14"/>
        <rFont val="Times New Roman"/>
        <family val="1"/>
      </rPr>
      <t>be</t>
    </r>
  </si>
  <si>
    <r>
      <t>σ</t>
    </r>
    <r>
      <rPr>
        <i/>
        <vertAlign val="subscript"/>
        <sz val="14"/>
        <rFont val="Times New Roman"/>
        <family val="1"/>
      </rPr>
      <t>emax</t>
    </r>
  </si>
  <si>
    <r>
      <t>b</t>
    </r>
    <r>
      <rPr>
        <i/>
        <vertAlign val="subscript"/>
        <sz val="14"/>
        <rFont val="Times New Roman"/>
        <family val="1"/>
      </rPr>
      <t>l</t>
    </r>
  </si>
  <si>
    <r>
      <t>b</t>
    </r>
    <r>
      <rPr>
        <i/>
        <vertAlign val="subscript"/>
        <sz val="14"/>
        <rFont val="Times New Roman"/>
        <family val="1"/>
      </rPr>
      <t>w</t>
    </r>
  </si>
  <si>
    <r>
      <t>b</t>
    </r>
    <r>
      <rPr>
        <i/>
        <vertAlign val="subscript"/>
        <sz val="14"/>
        <rFont val="Times New Roman"/>
        <family val="1"/>
      </rPr>
      <t>max</t>
    </r>
  </si>
  <si>
    <r>
      <t>F</t>
    </r>
    <r>
      <rPr>
        <vertAlign val="subscript"/>
        <sz val="14"/>
        <rFont val="Times New Roman"/>
        <family val="1"/>
      </rPr>
      <t>u</t>
    </r>
  </si>
  <si>
    <r>
      <t>F</t>
    </r>
    <r>
      <rPr>
        <vertAlign val="subscript"/>
        <sz val="14"/>
        <rFont val="Times New Roman"/>
        <family val="1"/>
      </rPr>
      <t>e</t>
    </r>
  </si>
  <si>
    <t>Trade-off table</t>
  </si>
  <si>
    <t>1. Fill in the names of the trade-off parameters in the green priority list. Leave empty if no parameter</t>
  </si>
  <si>
    <t>&gt;</t>
  </si>
  <si>
    <t>R. Biesbroek</t>
  </si>
  <si>
    <t>=</t>
  </si>
  <si>
    <t>TEC-SYE</t>
  </si>
  <si>
    <t>This will automatically create the weight factor definition table.  (replace them if you do not agree with the outcome)</t>
  </si>
  <si>
    <t>3. Define the options e.g. replace 'text 1' by 'chemical propulsion platform'</t>
  </si>
  <si>
    <t>5. The bottom row will give the ranking of the options, taking into account the weight factors</t>
  </si>
  <si>
    <t>Please fill in only the GREEN parts in the tables!</t>
  </si>
  <si>
    <t>Please insert trade-off parameter names  in the green list and select condition ('&gt;' or '=')from the drop-down menu's: (order in terms of decreasing importance)</t>
  </si>
  <si>
    <t>Parameter1</t>
  </si>
  <si>
    <t>parameter2</t>
  </si>
  <si>
    <t>parameter3</t>
  </si>
  <si>
    <t>parameter4</t>
  </si>
  <si>
    <t>parameter5</t>
  </si>
  <si>
    <t>parameter6</t>
  </si>
  <si>
    <t>parameter7</t>
  </si>
  <si>
    <t>parameter8</t>
  </si>
  <si>
    <t>parameter9</t>
  </si>
  <si>
    <t>parameter10</t>
  </si>
  <si>
    <t>Priority List</t>
  </si>
  <si>
    <t>Value:</t>
  </si>
  <si>
    <t>Weight factor
definition
table</t>
  </si>
  <si>
    <t>Total score</t>
  </si>
  <si>
    <t>Scaled score
(&gt;=1)</t>
  </si>
  <si>
    <t>Weight factor 
(0..1)</t>
  </si>
  <si>
    <t>Trade-off table. Please define the option names, and fill in the score for each option, for each parameter. The bottom row will show the ranking</t>
  </si>
  <si>
    <t>Options
definition:</t>
  </si>
  <si>
    <t>Option 1</t>
  </si>
  <si>
    <t>Option 2</t>
  </si>
  <si>
    <t>Option 3</t>
  </si>
  <si>
    <t>Option 4</t>
  </si>
  <si>
    <t>Option 5</t>
  </si>
  <si>
    <t>Option 6</t>
  </si>
  <si>
    <t>Option 7</t>
  </si>
  <si>
    <t>Option 8</t>
  </si>
  <si>
    <t>Option 9</t>
  </si>
  <si>
    <t>Option 10</t>
  </si>
  <si>
    <t>Option 11</t>
  </si>
  <si>
    <t>Option 12</t>
  </si>
  <si>
    <t>Option 13</t>
  </si>
  <si>
    <t>Option 14</t>
  </si>
  <si>
    <t>Option 15</t>
  </si>
  <si>
    <t>Weight
Factor
(1..10)</t>
  </si>
  <si>
    <t>text 1</t>
  </si>
  <si>
    <t>text 2</t>
  </si>
  <si>
    <t>text 3</t>
  </si>
  <si>
    <t>text 4</t>
  </si>
  <si>
    <t>text 5</t>
  </si>
  <si>
    <t>text 6</t>
  </si>
  <si>
    <t>text 7</t>
  </si>
  <si>
    <t>text 8</t>
  </si>
  <si>
    <t>text 9</t>
  </si>
  <si>
    <t>text 10</t>
  </si>
  <si>
    <t>text 11</t>
  </si>
  <si>
    <t>text 12</t>
  </si>
  <si>
    <t>text 13</t>
  </si>
  <si>
    <t>text 14</t>
  </si>
  <si>
    <t>text 15</t>
  </si>
  <si>
    <t>Ranking</t>
  </si>
  <si>
    <t xml:space="preserve">2. Rank the parameters in order of priority and indicate if a parameter is more important (&gt;) or equally important (=) than the next one. </t>
  </si>
  <si>
    <t>4. Fill in the trade-off table by assigning a score to each option for each key trade-off parameter. Use the same scale, e.g. 1 to 5</t>
  </si>
  <si>
    <t>Cost</t>
  </si>
  <si>
    <t>Equilibrium temperature</t>
  </si>
  <si>
    <t>Key trade-off parameters &amp; weight factor definition. This table is automatically produced and requires no inputs</t>
  </si>
  <si>
    <t>Key trade-off Parameter</t>
  </si>
  <si>
    <t>Add options and parameters to Radar Chart:</t>
  </si>
  <si>
    <t>1. Right click on the radar chart</t>
  </si>
  <si>
    <t xml:space="preserve">2. Click on select data </t>
  </si>
  <si>
    <t>3. In horizontal axes label select or unselect the parameters that will be displayed</t>
  </si>
  <si>
    <t xml:space="preserve">4. in legend entries click add </t>
  </si>
  <si>
    <t>5. Select option name ( row 30 column x ) as series name</t>
  </si>
  <si>
    <t>6. select the value of each parameter related to the option for values</t>
  </si>
  <si>
    <t>Version 1.4</t>
  </si>
  <si>
    <t>Loris Franchi</t>
  </si>
  <si>
    <t>Politecnico di Torino</t>
  </si>
  <si>
    <t>For constants please refere to Space mission analysis and design third edition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</si>
</sst>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00E+00"/>
    <numFmt numFmtId="165" formatCode="0.0"/>
    <numFmt numFmtId="166" formatCode="0.000"/>
    <numFmt numFmtId="167" formatCode="0.0000E+00"/>
    <numFmt numFmtId="168" formatCode="0.0%"/>
  </numFmts>
  <fonts count="72">
    <font>
      <sz val="11"/>
      <color rgb="FF000000"/>
      <name val="Georgia"/>
      <family val="2"/>
    </font>
    <font>
      <sz val="11"/>
      <color theme="1"/>
      <name val="Calibri"/>
      <family val="2"/>
      <scheme val="minor"/>
    </font>
    <font>
      <sz val="11"/>
      <color theme="1"/>
      <name val="Calibri"/>
      <family val="2"/>
      <scheme val="minor"/>
    </font>
    <font>
      <sz val="11"/>
      <color theme="1"/>
      <name val="Calibri"/>
      <family val="2"/>
      <scheme val="minor"/>
    </font>
    <font>
      <sz val="12"/>
      <color rgb="FF000000"/>
      <name val="NotesEsa"/>
      <family val="3"/>
    </font>
    <font>
      <sz val="11"/>
      <color rgb="FF000000"/>
      <name val="Georgia"/>
      <family val="2"/>
    </font>
    <font>
      <b/>
      <sz val="15"/>
      <color rgb="FF747678"/>
      <name val="Georgia"/>
      <family val="2"/>
    </font>
    <font>
      <sz val="11"/>
      <color rgb="FFFFFFFF"/>
      <name val="Georgia"/>
      <family val="2"/>
    </font>
    <font>
      <sz val="11"/>
      <color rgb="FF9C0006"/>
      <name val="Georgia"/>
      <family val="2"/>
    </font>
    <font>
      <b/>
      <sz val="11"/>
      <color rgb="FF0D4A81"/>
      <name val="Georgia"/>
      <family val="2"/>
    </font>
    <font>
      <b/>
      <sz val="11"/>
      <color rgb="FFFFFFFF"/>
      <name val="Georgia"/>
      <family val="2"/>
    </font>
    <font>
      <i/>
      <sz val="11"/>
      <color rgb="FF7F7F7F"/>
      <name val="Georgia"/>
      <family val="2"/>
    </font>
    <font>
      <sz val="11"/>
      <color rgb="FF006100"/>
      <name val="Georgia"/>
      <family val="2"/>
    </font>
    <font>
      <b/>
      <sz val="13"/>
      <color rgb="FF747678"/>
      <name val="Georgia"/>
      <family val="2"/>
    </font>
    <font>
      <b/>
      <sz val="11"/>
      <color rgb="FF747678"/>
      <name val="Georgia"/>
      <family val="2"/>
    </font>
    <font>
      <sz val="11"/>
      <color rgb="FF3F3F76"/>
      <name val="Georgia"/>
      <family val="2"/>
    </font>
    <font>
      <sz val="11"/>
      <color rgb="FF0D4A81"/>
      <name val="Georgia"/>
      <family val="2"/>
    </font>
    <font>
      <sz val="11"/>
      <color rgb="FF9C6500"/>
      <name val="Georgia"/>
      <family val="2"/>
    </font>
    <font>
      <b/>
      <sz val="11"/>
      <color rgb="FF3F3F3F"/>
      <name val="Georgia"/>
      <family val="2"/>
    </font>
    <font>
      <sz val="18"/>
      <color rgb="FF747678"/>
      <name val="Georgia"/>
      <family val="2"/>
    </font>
    <font>
      <b/>
      <sz val="11"/>
      <color rgb="FF000000"/>
      <name val="Georgia"/>
      <family val="2"/>
    </font>
    <font>
      <sz val="11"/>
      <color rgb="FFFF0000"/>
      <name val="Georgia"/>
      <family val="2"/>
    </font>
    <font>
      <sz val="10"/>
      <name val="Arial"/>
      <family val="2"/>
    </font>
    <font>
      <b/>
      <i/>
      <sz val="14"/>
      <name val="Times New Roman"/>
      <family val="1"/>
    </font>
    <font>
      <sz val="14"/>
      <name val="Times New Roman"/>
      <family val="1"/>
    </font>
    <font>
      <sz val="9"/>
      <color rgb="FF000000"/>
      <name val="Times New Roman"/>
      <family val="1"/>
    </font>
    <font>
      <sz val="10"/>
      <name val="Times New Roman"/>
      <family val="1"/>
    </font>
    <font>
      <sz val="8"/>
      <color indexed="81"/>
      <name val="Tahoma"/>
      <family val="2"/>
    </font>
    <font>
      <sz val="8"/>
      <color indexed="81"/>
      <name val="Times New Roman"/>
      <family val="1"/>
    </font>
    <font>
      <b/>
      <sz val="10"/>
      <name val="Times New Roman"/>
      <family val="1"/>
    </font>
    <font>
      <i/>
      <sz val="9"/>
      <name val="Times New Roman"/>
      <family val="1"/>
    </font>
    <font>
      <sz val="11"/>
      <name val="Times New Roman"/>
      <family val="1"/>
    </font>
    <font>
      <sz val="8"/>
      <name val="Times New Roman"/>
      <family val="1"/>
    </font>
    <font>
      <b/>
      <sz val="8"/>
      <name val="Times New Roman"/>
      <family val="1"/>
    </font>
    <font>
      <b/>
      <i/>
      <sz val="8"/>
      <name val="Times New Roman"/>
      <family val="1"/>
    </font>
    <font>
      <sz val="11"/>
      <color indexed="8"/>
      <name val="Georgia"/>
      <family val="2"/>
    </font>
    <font>
      <sz val="16"/>
      <name val="Times New Roman"/>
      <family val="1"/>
    </font>
    <font>
      <b/>
      <i/>
      <sz val="48"/>
      <color indexed="12"/>
      <name val="Times New Roman"/>
      <family val="1"/>
    </font>
    <font>
      <b/>
      <i/>
      <sz val="25"/>
      <name val="Times New Roman"/>
      <family val="1"/>
    </font>
    <font>
      <b/>
      <i/>
      <sz val="48"/>
      <name val="Times New Roman"/>
      <family val="1"/>
    </font>
    <font>
      <b/>
      <sz val="10"/>
      <color indexed="12"/>
      <name val="Times New Roman"/>
      <family val="1"/>
    </font>
    <font>
      <b/>
      <sz val="14"/>
      <color indexed="12"/>
      <name val="Times New Roman"/>
      <family val="1"/>
    </font>
    <font>
      <b/>
      <sz val="14"/>
      <name val="Times New Roman"/>
      <family val="1"/>
    </font>
    <font>
      <b/>
      <sz val="20"/>
      <name val="Times New Roman"/>
      <family val="1"/>
    </font>
    <font>
      <i/>
      <sz val="14"/>
      <color rgb="FF0070C0"/>
      <name val="Times New Roman"/>
      <family val="1"/>
    </font>
    <font>
      <i/>
      <vertAlign val="subscript"/>
      <sz val="14"/>
      <name val="Times New Roman"/>
      <family val="1"/>
    </font>
    <font>
      <i/>
      <sz val="14"/>
      <name val="Times New Roman"/>
      <family val="1"/>
    </font>
    <font>
      <b/>
      <i/>
      <sz val="14"/>
      <color rgb="FF0070C0"/>
      <name val="Times New Roman"/>
      <family val="1"/>
    </font>
    <font>
      <b/>
      <sz val="18"/>
      <name val="Times New Roman"/>
      <family val="1"/>
    </font>
    <font>
      <b/>
      <sz val="14"/>
      <color indexed="48"/>
      <name val="Times New Roman"/>
      <family val="1"/>
    </font>
    <font>
      <sz val="10"/>
      <color indexed="12"/>
      <name val="Times New Roman"/>
      <family val="1"/>
    </font>
    <font>
      <sz val="14"/>
      <color indexed="12"/>
      <name val="Times New Roman"/>
      <family val="1"/>
    </font>
    <font>
      <b/>
      <sz val="20"/>
      <color theme="1"/>
      <name val="Times New Roman"/>
      <family val="1"/>
    </font>
    <font>
      <b/>
      <sz val="14"/>
      <color theme="1"/>
      <name val="Times New Roman"/>
      <family val="1"/>
    </font>
    <font>
      <b/>
      <vertAlign val="subscript"/>
      <sz val="14"/>
      <name val="Times New Roman"/>
      <family val="1"/>
    </font>
    <font>
      <b/>
      <vertAlign val="superscript"/>
      <sz val="14"/>
      <name val="Times New Roman"/>
      <family val="1"/>
    </font>
    <font>
      <i/>
      <sz val="14"/>
      <color indexed="12"/>
      <name val="Times New Roman"/>
      <family val="1"/>
    </font>
    <font>
      <sz val="14"/>
      <color indexed="9"/>
      <name val="Times New Roman"/>
      <family val="1"/>
    </font>
    <font>
      <i/>
      <sz val="10"/>
      <color rgb="FF0070C0"/>
      <name val="Times New Roman"/>
      <family val="1"/>
    </font>
    <font>
      <b/>
      <sz val="10"/>
      <color theme="1"/>
      <name val="Times New Roman"/>
      <family val="1"/>
    </font>
    <font>
      <b/>
      <sz val="14"/>
      <color indexed="9"/>
      <name val="Times New Roman"/>
      <family val="1"/>
    </font>
    <font>
      <b/>
      <sz val="14"/>
      <color indexed="10"/>
      <name val="Times New Roman"/>
      <family val="1"/>
    </font>
    <font>
      <b/>
      <sz val="14"/>
      <color rgb="FF0070C0"/>
      <name val="Times New Roman"/>
      <family val="1"/>
    </font>
    <font>
      <sz val="14"/>
      <color rgb="FF002060"/>
      <name val="Times New Roman"/>
      <family val="1"/>
    </font>
    <font>
      <vertAlign val="subscript"/>
      <sz val="14"/>
      <name val="Times New Roman"/>
      <family val="1"/>
    </font>
    <font>
      <sz val="14"/>
      <color rgb="FF0070C0"/>
      <name val="Times New Roman"/>
      <family val="1"/>
    </font>
    <font>
      <b/>
      <sz val="18"/>
      <color theme="1"/>
      <name val="Calibri"/>
      <family val="2"/>
      <scheme val="minor"/>
    </font>
    <font>
      <b/>
      <sz val="11"/>
      <color theme="1"/>
      <name val="Calibri"/>
      <family val="2"/>
      <scheme val="minor"/>
    </font>
    <font>
      <i/>
      <sz val="11"/>
      <color theme="1"/>
      <name val="Calibri"/>
      <family val="2"/>
      <scheme val="minor"/>
    </font>
    <font>
      <b/>
      <i/>
      <sz val="11"/>
      <color theme="4" tint="-0.499984740745262"/>
      <name val="Calibri"/>
      <family val="2"/>
      <scheme val="minor"/>
    </font>
    <font>
      <sz val="11"/>
      <color indexed="9"/>
      <name val="Georgia"/>
      <family val="2"/>
    </font>
    <font>
      <b/>
      <sz val="22"/>
      <name val="Segoe UI"/>
      <family val="2"/>
    </font>
  </fonts>
  <fills count="7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rgb="FFC4EDFF"/>
        <bgColor indexed="64"/>
      </patternFill>
    </fill>
    <fill>
      <patternFill patternType="solid">
        <fgColor rgb="FFDBDBDB"/>
      </patternFill>
    </fill>
    <fill>
      <patternFill patternType="solid">
        <fgColor rgb="FFBBDBF9"/>
      </patternFill>
    </fill>
    <fill>
      <patternFill patternType="solid">
        <fgColor rgb="FFACCBFF"/>
      </patternFill>
    </fill>
    <fill>
      <patternFill patternType="solid">
        <fgColor rgb="FFEEF4FB"/>
      </patternFill>
    </fill>
    <fill>
      <patternFill patternType="solid">
        <fgColor rgb="FF8ADCFF"/>
      </patternFill>
    </fill>
    <fill>
      <patternFill patternType="solid">
        <fgColor rgb="FFB6B6B8"/>
      </patternFill>
    </fill>
    <fill>
      <patternFill patternType="solid">
        <fgColor rgb="FF78B8F1"/>
      </patternFill>
    </fill>
    <fill>
      <patternFill patternType="solid">
        <fgColor rgb="FF5998FF"/>
      </patternFill>
    </fill>
    <fill>
      <patternFill patternType="solid">
        <fgColor rgb="FFDDEAF7"/>
      </patternFill>
    </fill>
    <fill>
      <patternFill patternType="solid">
        <fgColor rgb="FFE7E7E4"/>
      </patternFill>
    </fill>
    <fill>
      <patternFill patternType="solid">
        <fgColor rgb="FF4FCAFF"/>
      </patternFill>
    </fill>
    <fill>
      <patternFill patternType="solid">
        <fgColor rgb="FF939395"/>
      </patternFill>
    </fill>
    <fill>
      <patternFill patternType="solid">
        <fgColor rgb="FF3695EB"/>
      </patternFill>
    </fill>
    <fill>
      <patternFill patternType="solid">
        <fgColor rgb="FF0965FF"/>
      </patternFill>
    </fill>
    <fill>
      <patternFill patternType="solid">
        <fgColor rgb="FFCCDFF2"/>
      </patternFill>
    </fill>
    <fill>
      <patternFill patternType="solid">
        <fgColor rgb="FFDADAD8"/>
      </patternFill>
    </fill>
    <fill>
      <patternFill patternType="solid">
        <fgColor rgb="FF0098DB"/>
      </patternFill>
    </fill>
    <fill>
      <patternFill patternType="solid">
        <fgColor rgb="FF4B4B4D"/>
      </patternFill>
    </fill>
    <fill>
      <patternFill patternType="solid">
        <fgColor rgb="FF0D4A81"/>
        <bgColor indexed="64"/>
      </patternFill>
    </fill>
    <fill>
      <patternFill patternType="solid">
        <fgColor rgb="FF002664"/>
      </patternFill>
    </fill>
    <fill>
      <patternFill patternType="solid">
        <fgColor rgb="FFAACAEA"/>
      </patternFill>
    </fill>
    <fill>
      <patternFill patternType="solid">
        <fgColor rgb="FFC1C2BE"/>
      </patternFill>
    </fill>
    <fill>
      <patternFill patternType="solid">
        <fgColor indexed="9"/>
        <bgColor indexed="26"/>
      </patternFill>
    </fill>
    <fill>
      <patternFill patternType="solid">
        <fgColor theme="3" tint="0.39997558519241921"/>
        <bgColor indexed="26"/>
      </patternFill>
    </fill>
    <fill>
      <patternFill patternType="solid">
        <fgColor indexed="12"/>
        <bgColor indexed="39"/>
      </patternFill>
    </fill>
    <fill>
      <patternFill patternType="solid">
        <fgColor theme="3" tint="0.39997558519241921"/>
        <bgColor indexed="39"/>
      </patternFill>
    </fill>
    <fill>
      <gradientFill degree="270">
        <stop position="0">
          <color theme="4" tint="0.80001220740379042"/>
        </stop>
        <stop position="1">
          <color theme="4"/>
        </stop>
      </gradientFill>
    </fill>
    <fill>
      <gradientFill degree="270">
        <stop position="0">
          <color theme="6" tint="0.80001220740379042"/>
        </stop>
        <stop position="1">
          <color theme="6" tint="-0.25098422193060094"/>
        </stop>
      </gradientFill>
    </fill>
    <fill>
      <patternFill patternType="solid">
        <fgColor theme="6" tint="0.79998168889431442"/>
        <bgColor indexed="64"/>
      </patternFill>
    </fill>
    <fill>
      <patternFill patternType="solid">
        <fgColor theme="4" tint="0.79998168889431442"/>
        <bgColor indexed="26"/>
      </patternFill>
    </fill>
    <fill>
      <patternFill patternType="solid">
        <fgColor theme="4" tint="0.79998168889431442"/>
        <bgColor indexed="64"/>
      </patternFill>
    </fill>
    <fill>
      <patternFill patternType="solid">
        <fgColor indexed="41"/>
        <bgColor indexed="64"/>
      </patternFill>
    </fill>
    <fill>
      <patternFill patternType="solid">
        <fgColor rgb="FFFFFF66"/>
        <bgColor indexed="64"/>
      </patternFill>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theme="3" tint="0.39997558519241921"/>
        <bgColor indexed="64"/>
      </patternFill>
    </fill>
    <fill>
      <patternFill patternType="solid">
        <fgColor theme="0"/>
        <bgColor indexed="26"/>
      </patternFill>
    </fill>
    <fill>
      <gradientFill degree="270">
        <stop position="0">
          <color theme="0" tint="-5.0965910824915313E-2"/>
        </stop>
        <stop position="1">
          <color theme="0" tint="-0.49803155613879818"/>
        </stop>
      </gradientFill>
    </fill>
    <fill>
      <gradientFill degree="270">
        <stop position="0">
          <color theme="8" tint="0.80001220740379042"/>
        </stop>
        <stop position="1">
          <color theme="8" tint="-0.25098422193060094"/>
        </stop>
      </gradientFill>
    </fill>
    <fill>
      <patternFill patternType="solid">
        <fgColor theme="0" tint="-4.9989318521683403E-2"/>
        <bgColor indexed="64"/>
      </patternFill>
    </fill>
    <fill>
      <patternFill patternType="solid">
        <fgColor theme="8" tint="0.79998168889431442"/>
        <bgColor indexed="26"/>
      </patternFill>
    </fill>
    <fill>
      <patternFill patternType="solid">
        <fgColor theme="8" tint="0.79998168889431442"/>
        <bgColor indexed="64"/>
      </patternFill>
    </fill>
    <fill>
      <patternFill patternType="solid">
        <fgColor indexed="44"/>
        <bgColor indexed="64"/>
      </patternFill>
    </fill>
    <fill>
      <patternFill patternType="solid">
        <fgColor theme="0"/>
        <bgColor indexed="64"/>
      </patternFill>
    </fill>
    <fill>
      <gradientFill degree="270">
        <stop position="0">
          <color theme="4" tint="0.80001220740379042"/>
        </stop>
        <stop position="1">
          <color theme="4" tint="-0.25098422193060094"/>
        </stop>
      </gradientFill>
    </fill>
    <fill>
      <patternFill patternType="solid">
        <fgColor indexed="13"/>
        <bgColor indexed="64"/>
      </patternFill>
    </fill>
    <fill>
      <patternFill patternType="solid">
        <fgColor indexed="42"/>
        <bgColor indexed="64"/>
      </patternFill>
    </fill>
    <fill>
      <gradientFill degree="270">
        <stop position="0">
          <color theme="7" tint="0.80001220740379042"/>
        </stop>
        <stop position="1">
          <color theme="7" tint="-0.25098422193060094"/>
        </stop>
      </gradientFill>
    </fill>
    <fill>
      <patternFill patternType="solid">
        <fgColor theme="7" tint="0.79998168889431442"/>
        <bgColor indexed="26"/>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59999389629810485"/>
        <bgColor indexed="26"/>
      </patternFill>
    </fill>
    <fill>
      <patternFill patternType="solid">
        <fgColor theme="9" tint="0.59999389629810485"/>
        <bgColor indexed="64"/>
      </patternFill>
    </fill>
    <fill>
      <patternFill patternType="solid">
        <fgColor theme="0" tint="-4.9989318521683403E-2"/>
        <bgColor indexed="26"/>
      </patternFill>
    </fill>
    <fill>
      <patternFill patternType="solid">
        <fgColor rgb="FF00B0F0"/>
        <bgColor indexed="64"/>
      </patternFill>
    </fill>
    <fill>
      <patternFill patternType="solid">
        <fgColor rgb="FF92D05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indexed="62"/>
        <bgColor indexed="64"/>
      </patternFill>
    </fill>
  </fills>
  <borders count="187">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ck">
        <color theme="2"/>
      </bottom>
      <diagonal/>
    </border>
    <border>
      <left/>
      <right/>
      <top/>
      <bottom style="double">
        <color rgb="FF0D4A81"/>
      </bottom>
      <diagonal/>
    </border>
    <border>
      <left style="thick">
        <color theme="4" tint="-0.249977111117893"/>
      </left>
      <right/>
      <top style="thick">
        <color theme="4" tint="-0.249977111117893"/>
      </top>
      <bottom style="thick">
        <color theme="4" tint="-0.249977111117893"/>
      </bottom>
      <diagonal/>
    </border>
    <border>
      <left/>
      <right/>
      <top style="thick">
        <color theme="4" tint="-0.249977111117893"/>
      </top>
      <bottom style="thick">
        <color theme="4" tint="-0.249977111117893"/>
      </bottom>
      <diagonal/>
    </border>
    <border>
      <left/>
      <right style="thick">
        <color theme="4" tint="-0.249977111117893"/>
      </right>
      <top style="thick">
        <color theme="4" tint="-0.249977111117893"/>
      </top>
      <bottom style="thick">
        <color theme="4" tint="-0.249977111117893"/>
      </bottom>
      <diagonal/>
    </border>
    <border>
      <left style="thick">
        <color theme="6" tint="-0.499984740745262"/>
      </left>
      <right/>
      <top style="thick">
        <color theme="6" tint="-0.499984740745262"/>
      </top>
      <bottom style="medium">
        <color theme="6" tint="-0.499984740745262"/>
      </bottom>
      <diagonal/>
    </border>
    <border>
      <left/>
      <right/>
      <top style="thick">
        <color theme="6" tint="-0.499984740745262"/>
      </top>
      <bottom style="medium">
        <color theme="6" tint="-0.499984740745262"/>
      </bottom>
      <diagonal/>
    </border>
    <border>
      <left/>
      <right style="thick">
        <color theme="6" tint="-0.499984740745262"/>
      </right>
      <top style="thick">
        <color theme="6" tint="-0.499984740745262"/>
      </top>
      <bottom style="medium">
        <color theme="6" tint="-0.499984740745262"/>
      </bottom>
      <diagonal/>
    </border>
    <border>
      <left style="thick">
        <color theme="4" tint="-0.249977111117893"/>
      </left>
      <right/>
      <top style="thick">
        <color theme="4" tint="-0.249977111117893"/>
      </top>
      <bottom style="medium">
        <color theme="4" tint="-0.249977111117893"/>
      </bottom>
      <diagonal/>
    </border>
    <border>
      <left/>
      <right/>
      <top style="thick">
        <color theme="4" tint="-0.249977111117893"/>
      </top>
      <bottom style="medium">
        <color theme="4" tint="-0.249977111117893"/>
      </bottom>
      <diagonal/>
    </border>
    <border>
      <left/>
      <right style="thick">
        <color theme="4" tint="-0.249977111117893"/>
      </right>
      <top style="thick">
        <color theme="4" tint="-0.249977111117893"/>
      </top>
      <bottom style="medium">
        <color theme="4" tint="-0.249977111117893"/>
      </bottom>
      <diagonal/>
    </border>
    <border>
      <left style="thick">
        <color theme="6" tint="-0.499984740745262"/>
      </left>
      <right/>
      <top style="medium">
        <color theme="6" tint="-0.499984740745262"/>
      </top>
      <bottom style="thick">
        <color theme="6" tint="-0.499984740745262"/>
      </bottom>
      <diagonal/>
    </border>
    <border>
      <left/>
      <right/>
      <top style="medium">
        <color theme="6" tint="-0.499984740745262"/>
      </top>
      <bottom style="thick">
        <color theme="6" tint="-0.499984740745262"/>
      </bottom>
      <diagonal/>
    </border>
    <border>
      <left/>
      <right style="thick">
        <color theme="6" tint="-0.499984740745262"/>
      </right>
      <top style="medium">
        <color theme="6" tint="-0.499984740745262"/>
      </top>
      <bottom style="thick">
        <color theme="6" tint="-0.499984740745262"/>
      </bottom>
      <diagonal/>
    </border>
    <border>
      <left style="thick">
        <color theme="4" tint="-0.249977111117893"/>
      </left>
      <right style="medium">
        <color theme="4" tint="-0.249977111117893"/>
      </right>
      <top style="medium">
        <color theme="4" tint="-0.249977111117893"/>
      </top>
      <bottom/>
      <diagonal/>
    </border>
    <border>
      <left/>
      <right style="thick">
        <color theme="4" tint="-0.249977111117893"/>
      </right>
      <top/>
      <bottom/>
      <diagonal/>
    </border>
    <border>
      <left style="thick">
        <color theme="4" tint="-0.249977111117893"/>
      </left>
      <right style="medium">
        <color theme="4" tint="-0.249977111117893"/>
      </right>
      <top/>
      <bottom/>
      <diagonal/>
    </border>
    <border>
      <left style="thin">
        <color indexed="64"/>
      </left>
      <right style="thin">
        <color indexed="64"/>
      </right>
      <top style="thin">
        <color indexed="64"/>
      </top>
      <bottom style="thin">
        <color indexed="64"/>
      </bottom>
      <diagonal/>
    </border>
    <border>
      <left style="thick">
        <color theme="8" tint="-0.499984740745262"/>
      </left>
      <right/>
      <top style="thick">
        <color theme="3" tint="-0.24994659260841701"/>
      </top>
      <bottom style="thick">
        <color theme="3" tint="-0.24994659260841701"/>
      </bottom>
      <diagonal/>
    </border>
    <border>
      <left/>
      <right/>
      <top style="thick">
        <color theme="3" tint="-0.24994659260841701"/>
      </top>
      <bottom style="thick">
        <color theme="3" tint="-0.24994659260841701"/>
      </bottom>
      <diagonal/>
    </border>
    <border>
      <left/>
      <right style="thick">
        <color theme="3" tint="-0.24994659260841701"/>
      </right>
      <top style="thick">
        <color theme="3" tint="-0.24994659260841701"/>
      </top>
      <bottom style="thick">
        <color theme="3" tint="-0.24994659260841701"/>
      </bottom>
      <diagonal/>
    </border>
    <border>
      <left style="thick">
        <color theme="3"/>
      </left>
      <right style="thick">
        <color theme="3"/>
      </right>
      <top/>
      <bottom/>
      <diagonal/>
    </border>
    <border>
      <left style="thick">
        <color theme="3"/>
      </left>
      <right/>
      <top/>
      <bottom/>
      <diagonal/>
    </border>
    <border>
      <left style="thin">
        <color theme="1"/>
      </left>
      <right style="thin">
        <color theme="1"/>
      </right>
      <top style="thick">
        <color theme="3" tint="-0.24994659260841701"/>
      </top>
      <bottom style="thin">
        <color theme="1"/>
      </bottom>
      <diagonal/>
    </border>
    <border>
      <left/>
      <right style="thick">
        <color theme="3"/>
      </right>
      <top/>
      <bottom/>
      <diagonal/>
    </border>
    <border>
      <left style="thin">
        <color theme="1"/>
      </left>
      <right style="thin">
        <color theme="1"/>
      </right>
      <top style="thin">
        <color theme="1"/>
      </top>
      <bottom style="thin">
        <color theme="1"/>
      </bottom>
      <diagonal/>
    </border>
    <border>
      <left style="thick">
        <color theme="3"/>
      </left>
      <right style="thick">
        <color theme="3"/>
      </right>
      <top/>
      <bottom style="thick">
        <color theme="3"/>
      </bottom>
      <diagonal/>
    </border>
    <border>
      <left style="thick">
        <color theme="3"/>
      </left>
      <right/>
      <top/>
      <bottom style="thick">
        <color theme="3"/>
      </bottom>
      <diagonal/>
    </border>
    <border>
      <left/>
      <right/>
      <top/>
      <bottom style="thick">
        <color theme="3"/>
      </bottom>
      <diagonal/>
    </border>
    <border>
      <left style="thin">
        <color theme="1"/>
      </left>
      <right style="thin">
        <color theme="1"/>
      </right>
      <top style="thin">
        <color theme="1"/>
      </top>
      <bottom style="thick">
        <color theme="3"/>
      </bottom>
      <diagonal/>
    </border>
    <border>
      <left/>
      <right style="thick">
        <color theme="3"/>
      </right>
      <top/>
      <bottom style="thick">
        <color theme="3"/>
      </bottom>
      <diagonal/>
    </border>
    <border>
      <left style="thick">
        <color theme="0" tint="-0.499984740745262"/>
      </left>
      <right/>
      <top style="thick">
        <color theme="0" tint="-0.499984740745262"/>
      </top>
      <bottom style="medium">
        <color theme="0" tint="-0.499984740745262"/>
      </bottom>
      <diagonal/>
    </border>
    <border>
      <left style="medium">
        <color theme="0" tint="-0.499984740745262"/>
      </left>
      <right style="medium">
        <color theme="0" tint="-0.499984740745262"/>
      </right>
      <top style="thick">
        <color theme="0" tint="-0.499984740745262"/>
      </top>
      <bottom style="medium">
        <color theme="0" tint="-0.499984740745262"/>
      </bottom>
      <diagonal/>
    </border>
    <border>
      <left/>
      <right style="thick">
        <color theme="0" tint="-0.499984740745262"/>
      </right>
      <top style="thick">
        <color theme="0" tint="-0.499984740745262"/>
      </top>
      <bottom style="medium">
        <color theme="0" tint="-0.499984740745262"/>
      </bottom>
      <diagonal/>
    </border>
    <border>
      <left style="thick">
        <color theme="8" tint="-0.499984740745262"/>
      </left>
      <right/>
      <top style="thick">
        <color theme="8" tint="-0.499984740745262"/>
      </top>
      <bottom style="thick">
        <color theme="8" tint="-0.499984740745262"/>
      </bottom>
      <diagonal/>
    </border>
    <border>
      <left/>
      <right/>
      <top style="thick">
        <color theme="8" tint="-0.499984740745262"/>
      </top>
      <bottom style="thick">
        <color theme="8" tint="-0.499984740745262"/>
      </bottom>
      <diagonal/>
    </border>
    <border>
      <left/>
      <right style="thick">
        <color theme="8" tint="-0.499984740745262"/>
      </right>
      <top style="thick">
        <color theme="8" tint="-0.499984740745262"/>
      </top>
      <bottom style="thick">
        <color theme="8" tint="-0.499984740745262"/>
      </bottom>
      <diagonal/>
    </border>
    <border>
      <left style="thick">
        <color theme="8" tint="-0.499984740745262"/>
      </left>
      <right/>
      <top style="medium">
        <color theme="8" tint="-0.499984740745262"/>
      </top>
      <bottom style="thick">
        <color theme="8" tint="-0.499984740745262"/>
      </bottom>
      <diagonal/>
    </border>
    <border>
      <left/>
      <right/>
      <top style="medium">
        <color theme="8" tint="-0.499984740745262"/>
      </top>
      <bottom style="thick">
        <color theme="8" tint="-0.499984740745262"/>
      </bottom>
      <diagonal/>
    </border>
    <border>
      <left/>
      <right style="thick">
        <color theme="8" tint="-0.499984740745262"/>
      </right>
      <top style="medium">
        <color theme="8" tint="-0.499984740745262"/>
      </top>
      <bottom style="thick">
        <color theme="8" tint="-0.499984740745262"/>
      </bottom>
      <diagonal/>
    </border>
    <border>
      <left style="thick">
        <color theme="0" tint="-0.499984740745262"/>
      </left>
      <right/>
      <top/>
      <bottom/>
      <diagonal/>
    </border>
    <border>
      <left style="medium">
        <color theme="0" tint="-0.499984740745262"/>
      </left>
      <right style="medium">
        <color theme="0" tint="-0.499984740745262"/>
      </right>
      <top/>
      <bottom/>
      <diagonal/>
    </border>
    <border>
      <left/>
      <right style="thick">
        <color theme="0" tint="-0.499984740745262"/>
      </right>
      <top/>
      <bottom/>
      <diagonal/>
    </border>
    <border>
      <left style="thick">
        <color theme="8" tint="-0.499984740745262"/>
      </left>
      <right style="thick">
        <color theme="8" tint="-0.499984740745262"/>
      </right>
      <top style="thick">
        <color theme="8" tint="-0.499984740745262"/>
      </top>
      <bottom/>
      <diagonal/>
    </border>
    <border>
      <left/>
      <right/>
      <top style="thick">
        <color theme="8" tint="-0.499984740745262"/>
      </top>
      <bottom/>
      <diagonal/>
    </border>
    <border>
      <left style="thin">
        <color auto="1"/>
      </left>
      <right style="thin">
        <color auto="1"/>
      </right>
      <top style="thick">
        <color theme="8" tint="-0.499984740745262"/>
      </top>
      <bottom style="thin">
        <color indexed="64"/>
      </bottom>
      <diagonal/>
    </border>
    <border>
      <left/>
      <right style="thick">
        <color theme="8" tint="-0.499984740745262"/>
      </right>
      <top style="thick">
        <color theme="8" tint="-0.499984740745262"/>
      </top>
      <bottom/>
      <diagonal/>
    </border>
    <border>
      <left style="thick">
        <color theme="8" tint="-0.499984740745262"/>
      </left>
      <right style="thick">
        <color theme="8" tint="-0.499984740745262"/>
      </right>
      <top/>
      <bottom/>
      <diagonal/>
    </border>
    <border>
      <left/>
      <right style="thick">
        <color theme="8" tint="-0.499984740745262"/>
      </right>
      <top/>
      <bottom/>
      <diagonal/>
    </border>
    <border>
      <left/>
      <right style="medium">
        <color theme="8" tint="-0.499984740745262"/>
      </right>
      <top/>
      <bottom/>
      <diagonal/>
    </border>
    <border>
      <left/>
      <right style="thin">
        <color indexed="64"/>
      </right>
      <top/>
      <bottom/>
      <diagonal/>
    </border>
    <border>
      <left style="thick">
        <color theme="8" tint="-0.499984740745262"/>
      </left>
      <right style="thick">
        <color theme="8" tint="-0.499984740745262"/>
      </right>
      <top/>
      <bottom style="thick">
        <color theme="8" tint="-0.499984740745262"/>
      </bottom>
      <diagonal/>
    </border>
    <border>
      <left/>
      <right/>
      <top/>
      <bottom style="thick">
        <color theme="8" tint="-0.499984740745262"/>
      </bottom>
      <diagonal/>
    </border>
    <border>
      <left style="thin">
        <color indexed="64"/>
      </left>
      <right style="thin">
        <color indexed="64"/>
      </right>
      <top style="thin">
        <color indexed="64"/>
      </top>
      <bottom style="thick">
        <color theme="8" tint="-0.499984740745262"/>
      </bottom>
      <diagonal/>
    </border>
    <border>
      <left/>
      <right style="thick">
        <color theme="8" tint="-0.499984740745262"/>
      </right>
      <top/>
      <bottom style="thick">
        <color theme="8" tint="-0.499984740745262"/>
      </bottom>
      <diagonal/>
    </border>
    <border>
      <left style="thick">
        <color theme="8" tint="-0.499984740745262"/>
      </left>
      <right style="medium">
        <color theme="8" tint="-0.499984740745262"/>
      </right>
      <top/>
      <bottom/>
      <diagonal/>
    </border>
    <border>
      <left style="medium">
        <color theme="8" tint="-0.499984740745262"/>
      </left>
      <right/>
      <top/>
      <bottom/>
      <diagonal/>
    </border>
    <border>
      <left style="thick">
        <color theme="8" tint="-0.499984740745262"/>
      </left>
      <right style="medium">
        <color theme="8" tint="-0.499984740745262"/>
      </right>
      <top/>
      <bottom style="thick">
        <color theme="8" tint="-0.499984740745262"/>
      </bottom>
      <diagonal/>
    </border>
    <border>
      <left/>
      <right style="medium">
        <color theme="8" tint="-0.499984740745262"/>
      </right>
      <top/>
      <bottom style="thick">
        <color theme="8" tint="-0.499984740745262"/>
      </bottom>
      <diagonal/>
    </border>
    <border>
      <left style="thick">
        <color theme="0" tint="-0.499984740745262"/>
      </left>
      <right/>
      <top/>
      <bottom style="thick">
        <color theme="0" tint="-0.499984740745262"/>
      </bottom>
      <diagonal/>
    </border>
    <border>
      <left style="medium">
        <color theme="0" tint="-0.499984740745262"/>
      </left>
      <right style="medium">
        <color theme="0" tint="-0.499984740745262"/>
      </right>
      <top/>
      <bottom style="thick">
        <color theme="0" tint="-0.499984740745262"/>
      </bottom>
      <diagonal/>
    </border>
    <border>
      <left/>
      <right style="thick">
        <color theme="0" tint="-0.499984740745262"/>
      </right>
      <top/>
      <bottom style="thick">
        <color theme="0" tint="-0.499984740745262"/>
      </bottom>
      <diagonal/>
    </border>
    <border>
      <left/>
      <right/>
      <top/>
      <bottom style="thick">
        <color theme="4" tint="-0.499984740745262"/>
      </bottom>
      <diagonal/>
    </border>
    <border>
      <left/>
      <right style="thick">
        <color theme="4" tint="-0.499984740745262"/>
      </right>
      <top/>
      <bottom/>
      <diagonal/>
    </border>
    <border>
      <left/>
      <right/>
      <top/>
      <bottom style="medium">
        <color theme="4" tint="-0.499984740745262"/>
      </bottom>
      <diagonal/>
    </border>
    <border>
      <left/>
      <right style="thick">
        <color theme="4" tint="-0.499984740745262"/>
      </right>
      <top/>
      <bottom style="medium">
        <color theme="4" tint="-0.499984740745262"/>
      </bottom>
      <diagonal/>
    </border>
    <border>
      <left/>
      <right style="medium">
        <color theme="4" tint="-0.499984740745262"/>
      </right>
      <top style="medium">
        <color theme="4" tint="-0.499984740745262"/>
      </top>
      <bottom/>
      <diagonal/>
    </border>
    <border>
      <left style="medium">
        <color theme="4" tint="-0.499984740745262"/>
      </left>
      <right style="medium">
        <color theme="4" tint="-0.499984740745262"/>
      </right>
      <top style="medium">
        <color theme="4" tint="-0.499984740745262"/>
      </top>
      <bottom/>
      <diagonal/>
    </border>
    <border>
      <left style="medium">
        <color theme="4" tint="-0.499984740745262"/>
      </left>
      <right/>
      <top style="medium">
        <color theme="4" tint="-0.499984740745262"/>
      </top>
      <bottom/>
      <diagonal/>
    </border>
    <border>
      <left style="thick">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thick">
        <color theme="6" tint="-0.499984740745262"/>
      </right>
      <top style="medium">
        <color theme="6" tint="-0.499984740745262"/>
      </top>
      <bottom style="medium">
        <color theme="6" tint="-0.499984740745262"/>
      </bottom>
      <diagonal/>
    </border>
    <border>
      <left/>
      <right style="medium">
        <color theme="4" tint="-0.499984740745262"/>
      </right>
      <top/>
      <bottom/>
      <diagonal/>
    </border>
    <border>
      <left style="medium">
        <color theme="4" tint="-0.499984740745262"/>
      </left>
      <right/>
      <top/>
      <bottom/>
      <diagonal/>
    </border>
    <border>
      <left style="medium">
        <color theme="4" tint="-0.499984740745262"/>
      </left>
      <right style="medium">
        <color theme="4" tint="-0.499984740745262"/>
      </right>
      <top/>
      <bottom/>
      <diagonal/>
    </border>
    <border>
      <left style="thick">
        <color theme="6" tint="-0.499984740745262"/>
      </left>
      <right style="medium">
        <color theme="6" tint="-0.499984740745262"/>
      </right>
      <top/>
      <bottom/>
      <diagonal/>
    </border>
    <border>
      <left style="medium">
        <color theme="6" tint="-0.499984740745262"/>
      </left>
      <right style="medium">
        <color theme="6" tint="-0.499984740745262"/>
      </right>
      <top/>
      <bottom/>
      <diagonal/>
    </border>
    <border>
      <left/>
      <right style="medium">
        <color theme="6" tint="-0.499984740745262"/>
      </right>
      <top/>
      <bottom/>
      <diagonal/>
    </border>
    <border>
      <left/>
      <right style="medium">
        <color theme="6" tint="-0.499984740745262"/>
      </right>
      <top style="medium">
        <color theme="6" tint="-0.499984740745262"/>
      </top>
      <bottom/>
      <diagonal/>
    </border>
    <border>
      <left style="medium">
        <color theme="6" tint="-0.499984740745262"/>
      </left>
      <right style="medium">
        <color theme="6" tint="-0.499984740745262"/>
      </right>
      <top style="medium">
        <color theme="6" tint="-0.499984740745262"/>
      </top>
      <bottom/>
      <diagonal/>
    </border>
    <border>
      <left/>
      <right style="thick">
        <color theme="6" tint="-0.499984740745262"/>
      </right>
      <top/>
      <bottom/>
      <diagonal/>
    </border>
    <border>
      <left style="thick">
        <color theme="6" tint="-0.499984740745262"/>
      </left>
      <right style="medium">
        <color theme="6" tint="-0.499984740745262"/>
      </right>
      <top/>
      <bottom style="medium">
        <color theme="6" tint="-0.499984740745262"/>
      </bottom>
      <diagonal/>
    </border>
    <border>
      <left style="medium">
        <color theme="6" tint="-0.499984740745262"/>
      </left>
      <right style="medium">
        <color theme="6" tint="-0.499984740745262"/>
      </right>
      <top/>
      <bottom style="medium">
        <color theme="6" tint="-0.499984740745262"/>
      </bottom>
      <diagonal/>
    </border>
    <border>
      <left/>
      <right style="medium">
        <color theme="6" tint="-0.499984740745262"/>
      </right>
      <top/>
      <bottom style="medium">
        <color theme="6" tint="-0.499984740745262"/>
      </bottom>
      <diagonal/>
    </border>
    <border>
      <left/>
      <right style="thick">
        <color theme="6" tint="-0.499984740745262"/>
      </right>
      <top/>
      <bottom style="medium">
        <color theme="6" tint="-0.499984740745262"/>
      </bottom>
      <diagonal/>
    </border>
    <border>
      <left style="thick">
        <color theme="6" tint="-0.499984740745262"/>
      </left>
      <right style="thin">
        <color theme="6" tint="-0.499984740745262"/>
      </right>
      <top style="medium">
        <color theme="6" tint="-0.499984740745262"/>
      </top>
      <bottom/>
      <diagonal/>
    </border>
    <border>
      <left style="thin">
        <color theme="6" tint="-0.499984740745262"/>
      </left>
      <right style="thin">
        <color theme="6" tint="-0.499984740745262"/>
      </right>
      <top style="medium">
        <color theme="6" tint="-0.499984740745262"/>
      </top>
      <bottom/>
      <diagonal/>
    </border>
    <border>
      <left/>
      <right/>
      <top/>
      <bottom style="medium">
        <color indexed="64"/>
      </bottom>
      <diagonal/>
    </border>
    <border>
      <left style="thick">
        <color theme="6" tint="-0.499984740745262"/>
      </left>
      <right style="thin">
        <color theme="6" tint="-0.499984740745262"/>
      </right>
      <top/>
      <bottom/>
      <diagonal/>
    </border>
    <border>
      <left style="thin">
        <color theme="6" tint="-0.499984740745262"/>
      </left>
      <right style="thin">
        <color theme="6" tint="-0.499984740745262"/>
      </right>
      <top/>
      <bottom/>
      <diagonal/>
    </border>
    <border>
      <left/>
      <right style="medium">
        <color indexed="64"/>
      </right>
      <top/>
      <bottom/>
      <diagonal/>
    </border>
    <border>
      <left/>
      <right style="medium">
        <color indexed="64"/>
      </right>
      <top style="medium">
        <color indexed="64"/>
      </top>
      <bottom/>
      <diagonal/>
    </border>
    <border>
      <left style="medium">
        <color indexed="64"/>
      </left>
      <right style="thick">
        <color theme="4" tint="-0.499984740745262"/>
      </right>
      <top/>
      <bottom/>
      <diagonal/>
    </border>
    <border>
      <left style="medium">
        <color indexed="64"/>
      </left>
      <right style="medium">
        <color theme="4" tint="-0.499984740745262"/>
      </right>
      <top style="medium">
        <color indexed="64"/>
      </top>
      <bottom/>
      <diagonal/>
    </border>
    <border>
      <left/>
      <right style="medium">
        <color indexed="64"/>
      </right>
      <top/>
      <bottom style="medium">
        <color indexed="64"/>
      </bottom>
      <diagonal/>
    </border>
    <border>
      <left style="thick">
        <color theme="6" tint="-0.499984740745262"/>
      </left>
      <right style="thin">
        <color theme="6" tint="-0.499984740745262"/>
      </right>
      <top/>
      <bottom style="thick">
        <color theme="6" tint="-0.499984740745262"/>
      </bottom>
      <diagonal/>
    </border>
    <border>
      <left style="thin">
        <color theme="6" tint="-0.499984740745262"/>
      </left>
      <right style="thin">
        <color theme="6" tint="-0.499984740745262"/>
      </right>
      <top/>
      <bottom style="thick">
        <color theme="6" tint="-0.499984740745262"/>
      </bottom>
      <diagonal/>
    </border>
    <border>
      <left/>
      <right style="thick">
        <color theme="6" tint="-0.499984740745262"/>
      </right>
      <top/>
      <bottom style="thick">
        <color theme="6" tint="-0.499984740745262"/>
      </bottom>
      <diagonal/>
    </border>
    <border>
      <left style="thick">
        <color theme="4" tint="-0.499984740745262"/>
      </left>
      <right style="medium">
        <color theme="4" tint="-0.499984740745262"/>
      </right>
      <top/>
      <bottom style="thick">
        <color theme="4" tint="-0.499984740745262"/>
      </bottom>
      <diagonal/>
    </border>
    <border>
      <left style="medium">
        <color indexed="64"/>
      </left>
      <right style="medium">
        <color theme="4" tint="-0.499984740745262"/>
      </right>
      <top/>
      <bottom style="thick">
        <color theme="4" tint="-0.499984740745262"/>
      </bottom>
      <diagonal/>
    </border>
    <border>
      <left/>
      <right style="thick">
        <color theme="4" tint="-0.499984740745262"/>
      </right>
      <top style="thick">
        <color theme="4" tint="-0.499984740745262"/>
      </top>
      <bottom/>
      <diagonal/>
    </border>
    <border>
      <left style="thick">
        <color theme="4" tint="-0.499984740745262"/>
      </left>
      <right style="medium">
        <color theme="4" tint="-0.499984740745262"/>
      </right>
      <top/>
      <bottom/>
      <diagonal/>
    </border>
    <border>
      <left style="medium">
        <color indexed="64"/>
      </left>
      <right style="thick">
        <color theme="4" tint="-0.499984740745262"/>
      </right>
      <top style="medium">
        <color indexed="64"/>
      </top>
      <bottom style="medium">
        <color indexed="64"/>
      </bottom>
      <diagonal/>
    </border>
    <border>
      <left/>
      <right style="medium">
        <color indexed="64"/>
      </right>
      <top/>
      <bottom style="thick">
        <color theme="4" tint="-0.499984740745262"/>
      </bottom>
      <diagonal/>
    </border>
    <border>
      <left style="medium">
        <color indexed="64"/>
      </left>
      <right/>
      <top style="medium">
        <color indexed="64"/>
      </top>
      <bottom style="thick">
        <color theme="4" tint="-0.499984740745262"/>
      </bottom>
      <diagonal/>
    </border>
    <border>
      <left/>
      <right style="thick">
        <color theme="4" tint="-0.499984740745262"/>
      </right>
      <top style="medium">
        <color indexed="64"/>
      </top>
      <bottom style="thick">
        <color theme="4" tint="-0.499984740745262"/>
      </bottom>
      <diagonal/>
    </border>
    <border>
      <left style="thick">
        <color theme="7" tint="-0.499984740745262"/>
      </left>
      <right/>
      <top style="thick">
        <color theme="7" tint="-0.499984740745262"/>
      </top>
      <bottom style="medium">
        <color theme="7" tint="-0.499984740745262"/>
      </bottom>
      <diagonal/>
    </border>
    <border>
      <left/>
      <right/>
      <top style="thick">
        <color theme="7" tint="-0.499984740745262"/>
      </top>
      <bottom style="medium">
        <color theme="7" tint="-0.499984740745262"/>
      </bottom>
      <diagonal/>
    </border>
    <border>
      <left/>
      <right style="thick">
        <color theme="7" tint="-0.499984740745262"/>
      </right>
      <top style="thick">
        <color theme="7" tint="-0.499984740745262"/>
      </top>
      <bottom style="medium">
        <color theme="7" tint="-0.499984740745262"/>
      </bottom>
      <diagonal/>
    </border>
    <border>
      <left style="thick">
        <color theme="7" tint="-0.499984740745262"/>
      </left>
      <right style="medium">
        <color theme="7" tint="-0.499984740745262"/>
      </right>
      <top style="medium">
        <color theme="7" tint="-0.499984740745262"/>
      </top>
      <bottom/>
      <diagonal/>
    </border>
    <border>
      <left/>
      <right style="thick">
        <color theme="7" tint="-0.499984740745262"/>
      </right>
      <top/>
      <bottom/>
      <diagonal/>
    </border>
    <border>
      <left style="thick">
        <color theme="7" tint="-0.499984740745262"/>
      </left>
      <right style="medium">
        <color theme="7" tint="-0.499984740745262"/>
      </right>
      <top/>
      <bottom/>
      <diagonal/>
    </border>
    <border>
      <left style="thin">
        <color indexed="64"/>
      </left>
      <right style="thin">
        <color indexed="64"/>
      </right>
      <top style="thin">
        <color indexed="64"/>
      </top>
      <bottom/>
      <diagonal/>
    </border>
    <border>
      <left style="thick">
        <color theme="5" tint="-0.249977111117893"/>
      </left>
      <right/>
      <top style="thick">
        <color theme="5" tint="-0.249977111117893"/>
      </top>
      <bottom style="thick">
        <color theme="5" tint="-0.249977111117893"/>
      </bottom>
      <diagonal/>
    </border>
    <border>
      <left/>
      <right/>
      <top style="thick">
        <color theme="5" tint="-0.249977111117893"/>
      </top>
      <bottom style="thick">
        <color theme="5" tint="-0.249977111117893"/>
      </bottom>
      <diagonal/>
    </border>
    <border>
      <left/>
      <right style="thick">
        <color theme="5" tint="-0.249977111117893"/>
      </right>
      <top style="thick">
        <color theme="5" tint="-0.249977111117893"/>
      </top>
      <bottom style="thick">
        <color theme="5" tint="-0.249977111117893"/>
      </bottom>
      <diagonal/>
    </border>
    <border>
      <left style="thick">
        <color theme="7" tint="-0.499984740745262"/>
      </left>
      <right/>
      <top/>
      <bottom style="thick">
        <color theme="7" tint="-0.499984740745262"/>
      </bottom>
      <diagonal/>
    </border>
    <border>
      <left style="medium">
        <color theme="9" tint="-0.499984740745262"/>
      </left>
      <right/>
      <top style="thick">
        <color theme="5" tint="-0.249977111117893"/>
      </top>
      <bottom style="thick">
        <color theme="7" tint="-0.499984740745262"/>
      </bottom>
      <diagonal/>
    </border>
    <border>
      <left/>
      <right/>
      <top style="thick">
        <color theme="5" tint="-0.249977111117893"/>
      </top>
      <bottom style="thick">
        <color theme="7" tint="-0.499984740745262"/>
      </bottom>
      <diagonal/>
    </border>
    <border>
      <left/>
      <right style="medium">
        <color theme="9" tint="-0.499984740745262"/>
      </right>
      <top style="thick">
        <color theme="5" tint="-0.249977111117893"/>
      </top>
      <bottom style="thick">
        <color theme="7" tint="-0.499984740745262"/>
      </bottom>
      <diagonal/>
    </border>
    <border>
      <left/>
      <right style="thick">
        <color theme="7" tint="-0.499984740745262"/>
      </right>
      <top/>
      <bottom style="thick">
        <color theme="7" tint="-0.499984740745262"/>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thick">
        <color theme="4" tint="-0.499984740745262"/>
      </left>
      <right/>
      <top style="thick">
        <color theme="4" tint="-0.499984740745262"/>
      </top>
      <bottom style="medium">
        <color indexed="64"/>
      </bottom>
      <diagonal/>
    </border>
    <border>
      <left/>
      <right/>
      <top style="thick">
        <color theme="4" tint="-0.499984740745262"/>
      </top>
      <bottom style="medium">
        <color indexed="64"/>
      </bottom>
      <diagonal/>
    </border>
    <border>
      <left/>
      <right style="thick">
        <color theme="4" tint="-0.499984740745262"/>
      </right>
      <top style="thick">
        <color theme="4" tint="-0.499984740745262"/>
      </top>
      <bottom style="medium">
        <color indexed="64"/>
      </bottom>
      <diagonal/>
    </border>
    <border>
      <left style="thick">
        <color theme="4" tint="-0.499984740745262"/>
      </left>
      <right style="medium">
        <color theme="4" tint="-0.499984740745262"/>
      </right>
      <top style="medium">
        <color indexed="64"/>
      </top>
      <bottom/>
      <diagonal/>
    </border>
    <border>
      <left/>
      <right style="medium">
        <color theme="4" tint="-0.499984740745262"/>
      </right>
      <top style="medium">
        <color indexed="64"/>
      </top>
      <bottom/>
      <diagonal/>
    </border>
    <border>
      <left style="thin">
        <color indexed="64"/>
      </left>
      <right style="thin">
        <color indexed="64"/>
      </right>
      <top style="thin">
        <color indexed="64"/>
      </top>
      <bottom style="medium">
        <color indexed="64"/>
      </bottom>
      <diagonal/>
    </border>
    <border>
      <left/>
      <right style="medium">
        <color theme="4" tint="-0.499984740745262"/>
      </right>
      <top/>
      <bottom style="thick">
        <color theme="4" tint="-0.499984740745262"/>
      </bottom>
      <diagonal/>
    </border>
    <border>
      <left style="thick">
        <color theme="9" tint="-0.499984740745262"/>
      </left>
      <right/>
      <top style="thick">
        <color theme="5" tint="-0.249977111117893"/>
      </top>
      <bottom style="thick">
        <color theme="7" tint="-0.499984740745262"/>
      </bottom>
      <diagonal/>
    </border>
    <border>
      <left/>
      <right style="thick">
        <color theme="9" tint="-0.499984740745262"/>
      </right>
      <top style="thick">
        <color theme="5" tint="-0.249977111117893"/>
      </top>
      <bottom style="thick">
        <color theme="7" tint="-0.499984740745262"/>
      </bottom>
      <diagonal/>
    </border>
    <border>
      <left/>
      <right style="medium">
        <color theme="7" tint="-0.499984740745262"/>
      </right>
      <top/>
      <bottom style="thick">
        <color theme="7" tint="-0.499984740745262"/>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s>
  <cellStyleXfs count="53">
    <xf numFmtId="0" fontId="0" fillId="0" borderId="0" applyProtection="0"/>
    <xf numFmtId="0" fontId="19" fillId="0" borderId="0" applyNumberFormat="0" applyFill="0" applyBorder="0" applyAlignment="0" applyProtection="0"/>
    <xf numFmtId="0" fontId="6" fillId="0" borderId="8" applyNumberFormat="0" applyFill="0" applyAlignment="0" applyProtection="0"/>
    <xf numFmtId="0" fontId="13" fillId="0" borderId="1" applyNumberFormat="0" applyFill="0" applyAlignment="0" applyProtection="0"/>
    <xf numFmtId="0" fontId="14" fillId="0" borderId="2" applyNumberFormat="0" applyFill="0" applyAlignment="0" applyProtection="0"/>
    <xf numFmtId="0" fontId="14" fillId="0" borderId="0" applyNumberFormat="0" applyFill="0" applyBorder="0" applyAlignment="0" applyProtection="0"/>
    <xf numFmtId="0" fontId="12" fillId="2" borderId="0" applyNumberFormat="0" applyBorder="0" applyAlignment="0" applyProtection="0"/>
    <xf numFmtId="0" fontId="8" fillId="3" borderId="0" applyNumberFormat="0" applyBorder="0" applyAlignment="0" applyProtection="0"/>
    <xf numFmtId="0" fontId="17" fillId="4" borderId="0" applyNumberFormat="0" applyBorder="0" applyAlignment="0" applyProtection="0"/>
    <xf numFmtId="0" fontId="15" fillId="5" borderId="3" applyNumberFormat="0" applyAlignment="0">
      <protection locked="0"/>
    </xf>
    <xf numFmtId="0" fontId="18" fillId="6" borderId="4" applyNumberFormat="0" applyAlignment="0" applyProtection="0"/>
    <xf numFmtId="0" fontId="9" fillId="6" borderId="3" applyNumberFormat="0" applyAlignment="0"/>
    <xf numFmtId="0" fontId="16" fillId="0" borderId="9" applyNumberFormat="0" applyFill="0" applyAlignment="0" applyProtection="0"/>
    <xf numFmtId="0" fontId="10" fillId="7" borderId="5" applyNumberFormat="0" applyAlignment="0" applyProtection="0"/>
    <xf numFmtId="0" fontId="21" fillId="0" borderId="0" applyNumberFormat="0" applyFill="0" applyBorder="0" applyAlignment="0" applyProtection="0"/>
    <xf numFmtId="0" fontId="4" fillId="8" borderId="6" applyNumberFormat="0" applyFill="0" applyBorder="0" applyAlignment="0">
      <protection locked="0"/>
    </xf>
    <xf numFmtId="0" fontId="11" fillId="0" borderId="0" applyNumberFormat="0" applyFill="0" applyBorder="0" applyAlignment="0" applyProtection="0"/>
    <xf numFmtId="0" fontId="20" fillId="0" borderId="7" applyNumberFormat="0" applyFill="0" applyAlignment="0" applyProtection="0"/>
    <xf numFmtId="0" fontId="7" fillId="26" borderId="0" applyNumberFormat="0" applyBorder="0" applyAlignment="0" applyProtection="0"/>
    <xf numFmtId="0" fontId="5" fillId="9" borderId="0" applyNumberFormat="0" applyBorder="0" applyAlignment="0" applyProtection="0"/>
    <xf numFmtId="0" fontId="5" fillId="14" borderId="0" applyNumberFormat="0" applyBorder="0" applyAlignment="0" applyProtection="0"/>
    <xf numFmtId="0" fontId="7" fillId="20" borderId="0" applyNumberFormat="0" applyBorder="0" applyAlignment="0" applyProtection="0"/>
    <xf numFmtId="0" fontId="7" fillId="27" borderId="0" applyNumberFormat="0" applyBorder="0" applyAlignment="0" applyProtection="0"/>
    <xf numFmtId="0" fontId="5" fillId="10" borderId="0" applyNumberFormat="0" applyBorder="0" applyAlignment="0" applyProtection="0"/>
    <xf numFmtId="0" fontId="5" fillId="15" borderId="0" applyNumberFormat="0" applyBorder="0" applyAlignment="0" applyProtection="0"/>
    <xf numFmtId="0" fontId="7" fillId="21" borderId="0" applyNumberFormat="0" applyBorder="0" applyAlignment="0" applyProtection="0"/>
    <xf numFmtId="0" fontId="7" fillId="28" borderId="0" applyNumberFormat="0" applyBorder="0" applyAlignment="0" applyProtection="0"/>
    <xf numFmtId="0" fontId="5" fillId="11" borderId="0" applyNumberFormat="0" applyBorder="0" applyAlignment="0" applyProtection="0"/>
    <xf numFmtId="0" fontId="5" fillId="16" borderId="0" applyNumberFormat="0" applyBorder="0" applyAlignment="0" applyProtection="0"/>
    <xf numFmtId="0" fontId="7" fillId="22" borderId="0" applyNumberFormat="0" applyBorder="0" applyAlignment="0" applyProtection="0"/>
    <xf numFmtId="0" fontId="7" fillId="29" borderId="0" applyNumberFormat="0" applyBorder="0" applyAlignment="0" applyProtection="0"/>
    <xf numFmtId="0" fontId="5" fillId="12" borderId="0" applyNumberFormat="0" applyBorder="0" applyAlignment="0" applyProtection="0"/>
    <xf numFmtId="0" fontId="5" fillId="17" borderId="0" applyNumberFormat="0" applyBorder="0" applyAlignment="0" applyProtection="0"/>
    <xf numFmtId="0" fontId="7" fillId="23" borderId="0" applyNumberFormat="0" applyBorder="0" applyAlignment="0" applyProtection="0"/>
    <xf numFmtId="0" fontId="7" fillId="30" borderId="0" applyNumberFormat="0" applyBorder="0" applyAlignment="0" applyProtection="0"/>
    <xf numFmtId="0" fontId="5" fillId="13" borderId="0" applyNumberFormat="0" applyBorder="0" applyAlignment="0" applyProtection="0"/>
    <xf numFmtId="0" fontId="5" fillId="18" borderId="0" applyNumberFormat="0" applyBorder="0" applyAlignment="0" applyProtection="0"/>
    <xf numFmtId="0" fontId="7" fillId="24" borderId="0" applyNumberFormat="0" applyBorder="0" applyAlignment="0" applyProtection="0"/>
    <xf numFmtId="0" fontId="7" fillId="31" borderId="0" applyNumberFormat="0" applyBorder="0" applyAlignment="0" applyProtection="0"/>
    <xf numFmtId="0" fontId="5" fillId="6" borderId="0" applyNumberFormat="0" applyBorder="0" applyAlignment="0" applyProtection="0"/>
    <xf numFmtId="0" fontId="5" fillId="19" borderId="0" applyNumberFormat="0" applyBorder="0" applyAlignment="0" applyProtection="0"/>
    <xf numFmtId="0" fontId="7" fillId="25" borderId="0" applyNumberFormat="0" applyBorder="0" applyAlignment="0" applyProtection="0"/>
    <xf numFmtId="0" fontId="4" fillId="8" borderId="6" applyNumberFormat="0" applyFill="0" applyBorder="0" applyAlignment="0">
      <protection locked="0"/>
    </xf>
    <xf numFmtId="0" fontId="5" fillId="0" borderId="0" applyProtection="0"/>
    <xf numFmtId="0" fontId="6" fillId="0" borderId="8" applyNumberFormat="0" applyFill="0" applyAlignment="0" applyProtection="0"/>
    <xf numFmtId="0" fontId="22" fillId="0" borderId="0"/>
    <xf numFmtId="0" fontId="26" fillId="0" borderId="0"/>
    <xf numFmtId="9" fontId="31" fillId="0" borderId="0" applyFont="0" applyFill="0" applyBorder="0" applyAlignment="0" applyProtection="0"/>
    <xf numFmtId="0" fontId="35" fillId="0" borderId="0" applyProtection="0"/>
    <xf numFmtId="0" fontId="3" fillId="0" borderId="0"/>
    <xf numFmtId="0" fontId="35" fillId="0" borderId="0" applyProtection="0"/>
    <xf numFmtId="0" fontId="2" fillId="0" borderId="0"/>
    <xf numFmtId="0" fontId="1" fillId="0" borderId="0"/>
  </cellStyleXfs>
  <cellXfs count="560">
    <xf numFmtId="0" fontId="0" fillId="0" borderId="0" xfId="0"/>
    <xf numFmtId="0" fontId="23" fillId="32" borderId="0" xfId="45" applyFont="1" applyFill="1" applyAlignment="1" applyProtection="1">
      <alignment horizontal="center"/>
    </xf>
    <xf numFmtId="0" fontId="24" fillId="32" borderId="0" xfId="45" applyFont="1" applyFill="1" applyBorder="1" applyAlignment="1" applyProtection="1">
      <alignment horizontal="center"/>
    </xf>
    <xf numFmtId="0" fontId="24" fillId="32" borderId="0" xfId="45" applyFont="1" applyFill="1" applyBorder="1" applyProtection="1"/>
    <xf numFmtId="0" fontId="24" fillId="33" borderId="0" xfId="45" applyFont="1" applyFill="1" applyBorder="1" applyProtection="1"/>
    <xf numFmtId="0" fontId="26" fillId="46" borderId="0" xfId="45" applyFont="1" applyFill="1" applyProtection="1"/>
    <xf numFmtId="1" fontId="26" fillId="45" borderId="0" xfId="45" applyNumberFormat="1" applyFont="1" applyFill="1" applyBorder="1" applyAlignment="1" applyProtection="1">
      <alignment vertical="center"/>
    </xf>
    <xf numFmtId="0" fontId="26" fillId="45" borderId="0" xfId="45" applyFont="1" applyFill="1" applyProtection="1"/>
    <xf numFmtId="0" fontId="26" fillId="0" borderId="0" xfId="46" applyFont="1" applyBorder="1" applyProtection="1">
      <protection locked="0"/>
    </xf>
    <xf numFmtId="167" fontId="26" fillId="0" borderId="0" xfId="46" applyNumberFormat="1" applyFont="1" applyBorder="1" applyProtection="1">
      <protection locked="0"/>
    </xf>
    <xf numFmtId="0" fontId="26" fillId="0" borderId="0" xfId="46" applyFont="1" applyBorder="1" applyAlignment="1" applyProtection="1">
      <alignment horizontal="center"/>
      <protection locked="0"/>
    </xf>
    <xf numFmtId="0" fontId="26" fillId="0" borderId="0" xfId="46" applyFont="1" applyBorder="1"/>
    <xf numFmtId="0" fontId="26" fillId="46" borderId="0" xfId="46" applyFont="1" applyFill="1" applyBorder="1"/>
    <xf numFmtId="0" fontId="26" fillId="0" borderId="0" xfId="46" applyFont="1" applyFill="1" applyBorder="1" applyAlignment="1" applyProtection="1">
      <alignment horizontal="center"/>
      <protection locked="0"/>
    </xf>
    <xf numFmtId="0" fontId="26" fillId="0" borderId="0" xfId="46" applyFont="1" applyFill="1" applyBorder="1" applyProtection="1">
      <protection locked="0"/>
    </xf>
    <xf numFmtId="2" fontId="26" fillId="0" borderId="0" xfId="46" applyNumberFormat="1" applyFont="1" applyBorder="1" applyProtection="1">
      <protection locked="0"/>
    </xf>
    <xf numFmtId="164" fontId="26" fillId="0" borderId="0" xfId="46" applyNumberFormat="1" applyFont="1" applyBorder="1" applyProtection="1">
      <protection locked="0"/>
    </xf>
    <xf numFmtId="0" fontId="29" fillId="44" borderId="25" xfId="46" applyFont="1" applyFill="1" applyBorder="1" applyAlignment="1">
      <alignment horizontal="center"/>
    </xf>
    <xf numFmtId="0" fontId="29" fillId="0" borderId="0" xfId="46" applyFont="1" applyBorder="1" applyAlignment="1">
      <alignment horizontal="left"/>
    </xf>
    <xf numFmtId="0" fontId="26" fillId="0" borderId="25" xfId="46" applyFont="1" applyBorder="1"/>
    <xf numFmtId="0" fontId="30" fillId="0" borderId="0" xfId="46" applyFont="1" applyAlignment="1">
      <alignment horizontal="center"/>
    </xf>
    <xf numFmtId="0" fontId="26" fillId="0" borderId="0" xfId="46" applyFont="1"/>
    <xf numFmtId="0" fontId="26" fillId="0" borderId="0" xfId="46" applyFont="1" applyBorder="1" applyAlignment="1">
      <alignment horizontal="center"/>
    </xf>
    <xf numFmtId="11" fontId="26" fillId="0" borderId="0" xfId="46" applyNumberFormat="1" applyFont="1"/>
    <xf numFmtId="10" fontId="26" fillId="0" borderId="0" xfId="47" applyNumberFormat="1" applyFont="1" applyBorder="1"/>
    <xf numFmtId="0" fontId="26" fillId="0" borderId="0" xfId="46" applyFont="1" applyFill="1" applyBorder="1"/>
    <xf numFmtId="10" fontId="26" fillId="0" borderId="0" xfId="47" applyNumberFormat="1" applyFont="1" applyFill="1" applyBorder="1"/>
    <xf numFmtId="0" fontId="26" fillId="0" borderId="0" xfId="46" applyFont="1" applyBorder="1" applyAlignment="1">
      <alignment horizontal="centerContinuous"/>
    </xf>
    <xf numFmtId="0" fontId="26" fillId="0" borderId="0" xfId="46" applyFont="1" applyFill="1" applyBorder="1" applyAlignment="1">
      <alignment horizontal="center"/>
    </xf>
    <xf numFmtId="165" fontId="26" fillId="0" borderId="0" xfId="46" applyNumberFormat="1" applyFont="1" applyBorder="1"/>
    <xf numFmtId="165" fontId="26" fillId="0" borderId="0" xfId="46" applyNumberFormat="1" applyFont="1" applyFill="1" applyBorder="1"/>
    <xf numFmtId="168" fontId="26" fillId="0" borderId="0" xfId="47" applyNumberFormat="1" applyFont="1" applyFill="1" applyBorder="1"/>
    <xf numFmtId="0" fontId="29" fillId="0" borderId="0" xfId="46" applyFont="1" applyBorder="1" applyAlignment="1">
      <alignment horizontal="centerContinuous"/>
    </xf>
    <xf numFmtId="166" fontId="26" fillId="0" borderId="0" xfId="46" applyNumberFormat="1" applyFont="1" applyBorder="1"/>
    <xf numFmtId="2" fontId="32" fillId="0" borderId="0" xfId="46" applyNumberFormat="1" applyFont="1" applyAlignment="1">
      <alignment horizontal="left" indent="1"/>
    </xf>
    <xf numFmtId="0" fontId="26" fillId="0" borderId="0" xfId="46" quotePrefix="1" applyFont="1" applyBorder="1" applyAlignment="1">
      <alignment horizontal="center"/>
    </xf>
    <xf numFmtId="0" fontId="29" fillId="0" borderId="0" xfId="46" applyFont="1" applyBorder="1"/>
    <xf numFmtId="0" fontId="32" fillId="0" borderId="0" xfId="46" applyFont="1" applyAlignment="1">
      <alignment horizontal="center"/>
    </xf>
    <xf numFmtId="168" fontId="32" fillId="0" borderId="0" xfId="47" applyNumberFormat="1" applyFont="1" applyAlignment="1">
      <alignment horizontal="center"/>
    </xf>
    <xf numFmtId="0" fontId="32" fillId="53" borderId="25" xfId="46" applyFont="1" applyFill="1" applyBorder="1"/>
    <xf numFmtId="0" fontId="32" fillId="0" borderId="0" xfId="46" applyFont="1" applyBorder="1" applyAlignment="1">
      <alignment horizontal="center"/>
    </xf>
    <xf numFmtId="0" fontId="32" fillId="0" borderId="0" xfId="46" applyFont="1"/>
    <xf numFmtId="10" fontId="32" fillId="0" borderId="0" xfId="47" applyNumberFormat="1" applyFont="1"/>
    <xf numFmtId="168" fontId="32" fillId="0" borderId="0" xfId="47" applyNumberFormat="1" applyFont="1"/>
    <xf numFmtId="168" fontId="32" fillId="0" borderId="0" xfId="46" applyNumberFormat="1" applyFont="1"/>
    <xf numFmtId="10" fontId="33" fillId="0" borderId="0" xfId="47" applyNumberFormat="1" applyFont="1"/>
    <xf numFmtId="168" fontId="33" fillId="0" borderId="0" xfId="47" applyNumberFormat="1" applyFont="1"/>
    <xf numFmtId="10" fontId="34" fillId="0" borderId="0" xfId="47" applyNumberFormat="1" applyFont="1"/>
    <xf numFmtId="168" fontId="34" fillId="0" borderId="0" xfId="47" applyNumberFormat="1" applyFont="1"/>
    <xf numFmtId="10" fontId="32" fillId="0" borderId="0" xfId="46" applyNumberFormat="1" applyFont="1"/>
    <xf numFmtId="9" fontId="26" fillId="0" borderId="0" xfId="47" applyFont="1" applyBorder="1"/>
    <xf numFmtId="9" fontId="26" fillId="0" borderId="0" xfId="47" applyFont="1" applyFill="1" applyBorder="1"/>
    <xf numFmtId="0" fontId="26" fillId="46" borderId="0" xfId="46" applyFont="1" applyFill="1" applyBorder="1" applyProtection="1">
      <protection locked="0"/>
    </xf>
    <xf numFmtId="0" fontId="26" fillId="46" borderId="0" xfId="46" applyFont="1" applyFill="1" applyBorder="1" applyAlignment="1" applyProtection="1">
      <alignment horizontal="center"/>
      <protection locked="0"/>
    </xf>
    <xf numFmtId="0" fontId="36" fillId="65" borderId="134" xfId="0" applyFont="1" applyFill="1" applyBorder="1" applyAlignment="1">
      <alignment horizontal="center"/>
    </xf>
    <xf numFmtId="0" fontId="36" fillId="65" borderId="133" xfId="0" applyFont="1" applyFill="1" applyBorder="1" applyAlignment="1">
      <alignment horizontal="center"/>
    </xf>
    <xf numFmtId="0" fontId="26" fillId="32" borderId="0" xfId="45" applyFont="1" applyFill="1" applyAlignment="1">
      <alignment vertical="center"/>
    </xf>
    <xf numFmtId="0" fontId="37" fillId="32" borderId="0" xfId="45" applyFont="1" applyFill="1" applyAlignment="1">
      <alignment vertical="center"/>
    </xf>
    <xf numFmtId="0" fontId="26" fillId="33" borderId="0" xfId="45" applyFont="1" applyFill="1" applyAlignment="1">
      <alignment vertical="center"/>
    </xf>
    <xf numFmtId="0" fontId="38" fillId="32" borderId="0" xfId="45" applyFont="1" applyFill="1" applyAlignment="1">
      <alignment vertical="center"/>
    </xf>
    <xf numFmtId="0" fontId="39" fillId="32" borderId="0" xfId="45" applyFont="1" applyFill="1" applyAlignment="1">
      <alignment vertical="center"/>
    </xf>
    <xf numFmtId="0" fontId="26" fillId="34" borderId="0" xfId="45" applyFont="1" applyFill="1" applyAlignment="1">
      <alignment vertical="center"/>
    </xf>
    <xf numFmtId="0" fontId="40" fillId="34" borderId="0" xfId="45" applyFont="1" applyFill="1" applyAlignment="1">
      <alignment vertical="center"/>
    </xf>
    <xf numFmtId="0" fontId="26" fillId="35" borderId="0" xfId="45" applyFont="1" applyFill="1" applyAlignment="1">
      <alignment vertical="center"/>
    </xf>
    <xf numFmtId="0" fontId="24" fillId="32" borderId="0" xfId="45" applyFont="1" applyFill="1" applyAlignment="1">
      <alignment vertical="center"/>
    </xf>
    <xf numFmtId="0" fontId="41" fillId="32" borderId="0" xfId="45" applyFont="1" applyFill="1" applyAlignment="1">
      <alignment vertical="center"/>
    </xf>
    <xf numFmtId="0" fontId="24" fillId="33" borderId="0" xfId="45" applyFont="1" applyFill="1" applyAlignment="1">
      <alignment vertical="center"/>
    </xf>
    <xf numFmtId="0" fontId="24" fillId="47" borderId="0" xfId="45" applyFont="1" applyFill="1" applyAlignment="1">
      <alignment vertical="center"/>
    </xf>
    <xf numFmtId="0" fontId="23" fillId="32" borderId="0" xfId="45" applyFont="1" applyFill="1" applyAlignment="1" applyProtection="1">
      <alignment horizontal="center" vertical="center"/>
    </xf>
    <xf numFmtId="0" fontId="24" fillId="32" borderId="0" xfId="45" applyFont="1" applyFill="1" applyBorder="1" applyAlignment="1" applyProtection="1">
      <alignment horizontal="center" vertical="center"/>
    </xf>
    <xf numFmtId="0" fontId="42" fillId="48" borderId="39" xfId="45" applyFont="1" applyFill="1" applyBorder="1" applyAlignment="1" applyProtection="1">
      <alignment horizontal="center" vertical="center"/>
    </xf>
    <xf numFmtId="0" fontId="42" fillId="48" borderId="40" xfId="45" applyFont="1" applyFill="1" applyBorder="1" applyAlignment="1" applyProtection="1">
      <alignment horizontal="center" vertical="center"/>
    </xf>
    <xf numFmtId="0" fontId="42" fillId="48" borderId="41" xfId="45" applyFont="1" applyFill="1" applyBorder="1" applyAlignment="1" applyProtection="1">
      <alignment horizontal="center" vertical="center"/>
    </xf>
    <xf numFmtId="0" fontId="24" fillId="32" borderId="0" xfId="45" applyFont="1" applyFill="1" applyBorder="1" applyAlignment="1" applyProtection="1">
      <alignment vertical="center"/>
    </xf>
    <xf numFmtId="0" fontId="42" fillId="48" borderId="48" xfId="45" applyFont="1" applyFill="1" applyBorder="1" applyAlignment="1" applyProtection="1">
      <alignment horizontal="center" vertical="center"/>
    </xf>
    <xf numFmtId="0" fontId="42" fillId="48" borderId="49" xfId="45" applyFont="1" applyFill="1" applyBorder="1" applyAlignment="1" applyProtection="1">
      <alignment horizontal="center" vertical="center"/>
    </xf>
    <xf numFmtId="0" fontId="42" fillId="48" borderId="50" xfId="45" applyFont="1" applyFill="1" applyBorder="1" applyAlignment="1" applyProtection="1">
      <alignment horizontal="center" vertical="center"/>
    </xf>
    <xf numFmtId="0" fontId="24" fillId="43" borderId="51" xfId="45" applyFont="1" applyFill="1" applyBorder="1" applyAlignment="1" applyProtection="1">
      <alignment horizontal="center"/>
    </xf>
    <xf numFmtId="0" fontId="24" fillId="43" borderId="52" xfId="45" applyFont="1" applyFill="1" applyBorder="1" applyAlignment="1" applyProtection="1">
      <alignment horizontal="center"/>
    </xf>
    <xf numFmtId="0" fontId="24" fillId="44" borderId="53" xfId="45" applyFont="1" applyFill="1" applyBorder="1" applyAlignment="1" applyProtection="1">
      <alignment horizontal="center"/>
    </xf>
    <xf numFmtId="0" fontId="24" fillId="43" borderId="54" xfId="45" applyFont="1" applyFill="1" applyBorder="1" applyAlignment="1" applyProtection="1">
      <alignment horizontal="center"/>
    </xf>
    <xf numFmtId="0" fontId="24" fillId="50" borderId="48" xfId="45" applyFont="1" applyFill="1" applyBorder="1" applyAlignment="1" applyProtection="1">
      <alignment vertical="center"/>
    </xf>
    <xf numFmtId="2" fontId="44" fillId="50" borderId="49" xfId="45" applyNumberFormat="1" applyFont="1" applyFill="1" applyBorder="1" applyAlignment="1" applyProtection="1">
      <alignment vertical="center"/>
    </xf>
    <xf numFmtId="2" fontId="44" fillId="50" borderId="50" xfId="45" applyNumberFormat="1" applyFont="1" applyFill="1" applyBorder="1" applyAlignment="1" applyProtection="1">
      <alignment vertical="center"/>
    </xf>
    <xf numFmtId="0" fontId="24" fillId="43" borderId="55" xfId="45" applyFont="1" applyFill="1" applyBorder="1" applyAlignment="1" applyProtection="1">
      <alignment horizontal="center"/>
    </xf>
    <xf numFmtId="0" fontId="24" fillId="43" borderId="0" xfId="45" applyFont="1" applyFill="1" applyBorder="1" applyAlignment="1" applyProtection="1">
      <alignment horizontal="center"/>
    </xf>
    <xf numFmtId="0" fontId="24" fillId="44" borderId="25" xfId="45" applyFont="1" applyFill="1" applyBorder="1" applyAlignment="1" applyProtection="1">
      <alignment horizontal="center"/>
    </xf>
    <xf numFmtId="0" fontId="24" fillId="43" borderId="56" xfId="45" applyFont="1" applyFill="1" applyBorder="1" applyAlignment="1" applyProtection="1">
      <alignment horizontal="center"/>
    </xf>
    <xf numFmtId="0" fontId="46" fillId="51" borderId="57" xfId="45" applyFont="1" applyFill="1" applyBorder="1" applyAlignment="1">
      <alignment horizontal="center" vertical="center"/>
    </xf>
    <xf numFmtId="0" fontId="24" fillId="52" borderId="58" xfId="45" applyFont="1" applyFill="1" applyBorder="1" applyAlignment="1" applyProtection="1">
      <alignment vertical="center"/>
    </xf>
    <xf numFmtId="164" fontId="44" fillId="41" borderId="25" xfId="45" applyNumberFormat="1" applyFont="1" applyFill="1" applyBorder="1" applyAlignment="1" applyProtection="1">
      <alignment vertical="center"/>
      <protection locked="0"/>
    </xf>
    <xf numFmtId="164" fontId="44" fillId="52" borderId="0" xfId="45" applyNumberFormat="1" applyFont="1" applyFill="1" applyBorder="1" applyAlignment="1" applyProtection="1">
      <alignment horizontal="center" vertical="center"/>
    </xf>
    <xf numFmtId="0" fontId="42" fillId="52" borderId="56" xfId="45" applyFont="1" applyFill="1" applyBorder="1" applyAlignment="1" applyProtection="1">
      <alignment horizontal="center" vertical="center"/>
    </xf>
    <xf numFmtId="1" fontId="24" fillId="50" borderId="48" xfId="45" applyNumberFormat="1" applyFont="1" applyFill="1" applyBorder="1" applyAlignment="1" applyProtection="1">
      <alignment vertical="center"/>
    </xf>
    <xf numFmtId="0" fontId="24" fillId="43" borderId="59" xfId="45" applyFont="1" applyFill="1" applyBorder="1" applyAlignment="1" applyProtection="1">
      <alignment horizontal="center"/>
    </xf>
    <xf numFmtId="0" fontId="24" fillId="43" borderId="60" xfId="45" applyFont="1" applyFill="1" applyBorder="1" applyAlignment="1" applyProtection="1">
      <alignment horizontal="center"/>
    </xf>
    <xf numFmtId="0" fontId="24" fillId="44" borderId="61" xfId="45" applyFont="1" applyFill="1" applyBorder="1" applyAlignment="1" applyProtection="1">
      <alignment horizontal="center"/>
    </xf>
    <xf numFmtId="0" fontId="24" fillId="43" borderId="62" xfId="45" applyFont="1" applyFill="1" applyBorder="1" applyAlignment="1" applyProtection="1">
      <alignment horizontal="center"/>
    </xf>
    <xf numFmtId="0" fontId="46" fillId="51" borderId="57" xfId="45" applyFont="1" applyFill="1" applyBorder="1" applyAlignment="1" applyProtection="1">
      <alignment horizontal="center" vertical="center"/>
    </xf>
    <xf numFmtId="0" fontId="24" fillId="52" borderId="0" xfId="45" applyFont="1" applyFill="1" applyBorder="1" applyAlignment="1" applyProtection="1">
      <alignment vertical="center"/>
    </xf>
    <xf numFmtId="0" fontId="44" fillId="52" borderId="0" xfId="45" applyFont="1" applyFill="1" applyBorder="1" applyAlignment="1" applyProtection="1">
      <alignment vertical="center"/>
    </xf>
    <xf numFmtId="165" fontId="44" fillId="52" borderId="0" xfId="45" applyNumberFormat="1" applyFont="1" applyFill="1" applyBorder="1" applyAlignment="1" applyProtection="1">
      <alignment horizontal="center" vertical="center"/>
    </xf>
    <xf numFmtId="0" fontId="46" fillId="51" borderId="63" xfId="45" applyFont="1" applyFill="1" applyBorder="1" applyAlignment="1">
      <alignment horizontal="center" vertical="center"/>
    </xf>
    <xf numFmtId="0" fontId="24" fillId="51" borderId="0" xfId="45" applyFont="1" applyFill="1" applyBorder="1" applyAlignment="1">
      <alignment vertical="center"/>
    </xf>
    <xf numFmtId="2" fontId="44" fillId="51" borderId="0" xfId="45" applyNumberFormat="1" applyFont="1" applyFill="1" applyBorder="1" applyAlignment="1">
      <alignment horizontal="center" vertical="center"/>
    </xf>
    <xf numFmtId="0" fontId="42" fillId="51" borderId="56" xfId="45" applyFont="1" applyFill="1" applyBorder="1" applyAlignment="1">
      <alignment horizontal="center" vertical="center"/>
    </xf>
    <xf numFmtId="0" fontId="24" fillId="51" borderId="57" xfId="45" applyFont="1" applyFill="1" applyBorder="1" applyAlignment="1">
      <alignment vertical="center"/>
    </xf>
    <xf numFmtId="0" fontId="24" fillId="51" borderId="0" xfId="45" applyNumberFormat="1" applyFont="1" applyFill="1" applyBorder="1" applyAlignment="1">
      <alignment horizontal="left" vertical="center"/>
    </xf>
    <xf numFmtId="0" fontId="44" fillId="51" borderId="0" xfId="45" applyNumberFormat="1" applyFont="1" applyFill="1" applyBorder="1" applyAlignment="1">
      <alignment horizontal="center" vertical="center"/>
    </xf>
    <xf numFmtId="0" fontId="42" fillId="51" borderId="56" xfId="45" applyNumberFormat="1" applyFont="1" applyFill="1" applyBorder="1" applyAlignment="1">
      <alignment horizontal="center" vertical="center"/>
    </xf>
    <xf numFmtId="0" fontId="44" fillId="41" borderId="25" xfId="45" applyNumberFormat="1" applyFont="1" applyFill="1" applyBorder="1" applyAlignment="1" applyProtection="1">
      <alignment vertical="center"/>
      <protection locked="0"/>
    </xf>
    <xf numFmtId="0" fontId="44" fillId="52" borderId="0" xfId="45" applyFont="1" applyFill="1" applyBorder="1" applyAlignment="1" applyProtection="1">
      <alignment horizontal="center" vertical="center"/>
    </xf>
    <xf numFmtId="2" fontId="44" fillId="52" borderId="0" xfId="45" applyNumberFormat="1" applyFont="1" applyFill="1" applyBorder="1" applyAlignment="1" applyProtection="1">
      <alignment horizontal="center" vertical="center"/>
    </xf>
    <xf numFmtId="165" fontId="26" fillId="53" borderId="25" xfId="45" applyNumberFormat="1" applyFont="1" applyFill="1" applyBorder="1" applyProtection="1"/>
    <xf numFmtId="0" fontId="24" fillId="51" borderId="0" xfId="45" applyFont="1" applyFill="1" applyAlignment="1">
      <alignment vertical="center"/>
    </xf>
    <xf numFmtId="0" fontId="24" fillId="51" borderId="0" xfId="45" applyFont="1" applyFill="1" applyAlignment="1">
      <alignment horizontal="center" vertical="center"/>
    </xf>
    <xf numFmtId="0" fontId="24" fillId="51" borderId="56" xfId="45" applyFont="1" applyFill="1" applyBorder="1" applyAlignment="1">
      <alignment vertical="center"/>
    </xf>
    <xf numFmtId="0" fontId="41" fillId="51" borderId="56" xfId="45" applyFont="1" applyFill="1" applyBorder="1" applyAlignment="1">
      <alignment vertical="center"/>
    </xf>
    <xf numFmtId="0" fontId="42" fillId="52" borderId="0" xfId="45" applyFont="1" applyFill="1" applyBorder="1" applyAlignment="1" applyProtection="1">
      <alignment vertical="center"/>
    </xf>
    <xf numFmtId="0" fontId="47" fillId="52" borderId="0" xfId="45" applyFont="1" applyFill="1" applyBorder="1" applyAlignment="1" applyProtection="1">
      <alignment vertical="center"/>
    </xf>
    <xf numFmtId="164" fontId="47" fillId="52" borderId="0" xfId="45" applyNumberFormat="1" applyFont="1" applyFill="1" applyBorder="1" applyAlignment="1" applyProtection="1">
      <alignment horizontal="center" vertical="center"/>
    </xf>
    <xf numFmtId="0" fontId="46" fillId="51" borderId="65" xfId="45" applyFont="1" applyFill="1" applyBorder="1" applyAlignment="1">
      <alignment horizontal="center" vertical="center"/>
    </xf>
    <xf numFmtId="0" fontId="24" fillId="51" borderId="60" xfId="45" applyNumberFormat="1" applyFont="1" applyFill="1" applyBorder="1" applyAlignment="1">
      <alignment horizontal="left" vertical="center"/>
    </xf>
    <xf numFmtId="0" fontId="44" fillId="51" borderId="60" xfId="45" applyNumberFormat="1" applyFont="1" applyFill="1" applyBorder="1" applyAlignment="1">
      <alignment horizontal="center" vertical="center"/>
    </xf>
    <xf numFmtId="0" fontId="42" fillId="52" borderId="62" xfId="45" applyFont="1" applyFill="1" applyBorder="1" applyAlignment="1" applyProtection="1">
      <alignment horizontal="center" vertical="center"/>
    </xf>
    <xf numFmtId="0" fontId="46" fillId="51" borderId="66" xfId="45" applyFont="1" applyFill="1" applyBorder="1" applyAlignment="1">
      <alignment horizontal="center" vertical="center"/>
    </xf>
    <xf numFmtId="0" fontId="42" fillId="52" borderId="60" xfId="45" applyFont="1" applyFill="1" applyBorder="1" applyAlignment="1" applyProtection="1">
      <alignment vertical="center"/>
    </xf>
    <xf numFmtId="0" fontId="47" fillId="52" borderId="60" xfId="45" applyFont="1" applyFill="1" applyBorder="1" applyAlignment="1" applyProtection="1">
      <alignment vertical="center"/>
    </xf>
    <xf numFmtId="164" fontId="47" fillId="52" borderId="60" xfId="45" applyNumberFormat="1" applyFont="1" applyFill="1" applyBorder="1" applyAlignment="1" applyProtection="1">
      <alignment horizontal="center" vertical="center"/>
    </xf>
    <xf numFmtId="0" fontId="24" fillId="32" borderId="0" xfId="45" applyFont="1" applyFill="1" applyBorder="1" applyAlignment="1">
      <alignment vertical="center"/>
    </xf>
    <xf numFmtId="1" fontId="24" fillId="50" borderId="67" xfId="45" applyNumberFormat="1" applyFont="1" applyFill="1" applyBorder="1" applyAlignment="1" applyProtection="1">
      <alignment vertical="center"/>
    </xf>
    <xf numFmtId="2" fontId="44" fillId="50" borderId="68" xfId="45" applyNumberFormat="1" applyFont="1" applyFill="1" applyBorder="1" applyAlignment="1" applyProtection="1">
      <alignment vertical="center"/>
    </xf>
    <xf numFmtId="2" fontId="44" fillId="50" borderId="69" xfId="45" applyNumberFormat="1" applyFont="1" applyFill="1" applyBorder="1" applyAlignment="1" applyProtection="1">
      <alignment vertical="center"/>
    </xf>
    <xf numFmtId="0" fontId="24" fillId="32" borderId="70" xfId="45" applyFont="1" applyFill="1" applyBorder="1" applyAlignment="1">
      <alignment vertical="center"/>
    </xf>
    <xf numFmtId="0" fontId="41" fillId="32" borderId="70" xfId="45" applyFont="1" applyFill="1" applyBorder="1" applyAlignment="1">
      <alignment vertical="center"/>
    </xf>
    <xf numFmtId="1" fontId="24" fillId="54" borderId="0" xfId="45" applyNumberFormat="1" applyFont="1" applyFill="1" applyBorder="1" applyAlignment="1" applyProtection="1">
      <alignment vertical="center"/>
    </xf>
    <xf numFmtId="2" fontId="44" fillId="54" borderId="0" xfId="45" applyNumberFormat="1" applyFont="1" applyFill="1" applyBorder="1" applyAlignment="1" applyProtection="1">
      <alignment vertical="center"/>
    </xf>
    <xf numFmtId="0" fontId="43" fillId="32" borderId="71" xfId="45" applyFont="1" applyFill="1" applyBorder="1" applyAlignment="1">
      <alignment horizontal="center" vertical="center"/>
    </xf>
    <xf numFmtId="0" fontId="43" fillId="0" borderId="0" xfId="45" applyFont="1" applyFill="1" applyAlignment="1">
      <alignment horizontal="center" vertical="center"/>
    </xf>
    <xf numFmtId="0" fontId="43" fillId="32" borderId="0" xfId="45" applyFont="1" applyFill="1" applyAlignment="1">
      <alignment horizontal="center" vertical="center"/>
    </xf>
    <xf numFmtId="0" fontId="43" fillId="33" borderId="0" xfId="45" applyFont="1" applyFill="1" applyAlignment="1">
      <alignment horizontal="center" vertical="center"/>
    </xf>
    <xf numFmtId="0" fontId="24" fillId="32" borderId="71" xfId="45" applyFont="1" applyFill="1" applyBorder="1" applyAlignment="1">
      <alignment vertical="center"/>
    </xf>
    <xf numFmtId="0" fontId="49" fillId="39" borderId="74" xfId="45" applyFont="1" applyFill="1" applyBorder="1" applyAlignment="1" applyProtection="1">
      <alignment horizontal="left" vertical="center"/>
    </xf>
    <xf numFmtId="0" fontId="42" fillId="39" borderId="0" xfId="45" applyFont="1" applyFill="1" applyBorder="1" applyAlignment="1" applyProtection="1">
      <alignment horizontal="left" vertical="center"/>
    </xf>
    <xf numFmtId="0" fontId="49" fillId="39" borderId="0" xfId="45" applyFont="1" applyFill="1" applyBorder="1" applyAlignment="1" applyProtection="1">
      <alignment horizontal="left" vertical="center"/>
    </xf>
    <xf numFmtId="0" fontId="49" fillId="39" borderId="75" xfId="45" applyFont="1" applyFill="1" applyBorder="1" applyAlignment="1" applyProtection="1">
      <alignment horizontal="center" vertical="center"/>
    </xf>
    <xf numFmtId="0" fontId="42" fillId="39" borderId="76" xfId="45" applyFont="1" applyFill="1" applyBorder="1" applyAlignment="1" applyProtection="1">
      <alignment horizontal="left" vertical="center"/>
    </xf>
    <xf numFmtId="0" fontId="49" fillId="39" borderId="0" xfId="45" applyFont="1" applyFill="1" applyBorder="1" applyAlignment="1" applyProtection="1">
      <alignment horizontal="center" vertical="center"/>
    </xf>
    <xf numFmtId="0" fontId="49" fillId="39" borderId="0" xfId="45" applyFont="1" applyFill="1" applyBorder="1" applyAlignment="1" applyProtection="1">
      <alignment vertical="center"/>
    </xf>
    <xf numFmtId="0" fontId="41" fillId="39" borderId="71" xfId="45" applyFont="1" applyFill="1" applyBorder="1" applyAlignment="1" applyProtection="1">
      <alignment vertical="center"/>
    </xf>
    <xf numFmtId="0" fontId="42" fillId="38" borderId="77" xfId="45" applyFont="1" applyFill="1" applyBorder="1" applyAlignment="1">
      <alignment horizontal="centerContinuous"/>
    </xf>
    <xf numFmtId="0" fontId="42" fillId="38" borderId="78" xfId="45" applyFont="1" applyFill="1" applyBorder="1" applyAlignment="1">
      <alignment horizontal="centerContinuous"/>
    </xf>
    <xf numFmtId="0" fontId="42" fillId="38" borderId="79" xfId="45" applyFont="1" applyFill="1" applyBorder="1" applyAlignment="1">
      <alignment horizontal="centerContinuous"/>
    </xf>
    <xf numFmtId="0" fontId="42" fillId="38" borderId="80" xfId="45" applyFont="1" applyFill="1" applyBorder="1" applyAlignment="1">
      <alignment horizontal="centerContinuous"/>
    </xf>
    <xf numFmtId="0" fontId="42" fillId="38" borderId="81" xfId="45" applyFont="1" applyFill="1" applyBorder="1" applyAlignment="1">
      <alignment horizontal="centerContinuous"/>
    </xf>
    <xf numFmtId="0" fontId="46" fillId="39" borderId="82" xfId="45" applyFont="1" applyFill="1" applyBorder="1" applyAlignment="1">
      <alignment horizontal="center" vertical="center"/>
    </xf>
    <xf numFmtId="0" fontId="24" fillId="40" borderId="83" xfId="45" applyFont="1" applyFill="1" applyBorder="1" applyProtection="1"/>
    <xf numFmtId="0" fontId="24" fillId="40" borderId="0" xfId="45" applyFont="1" applyFill="1" applyBorder="1" applyProtection="1"/>
    <xf numFmtId="164" fontId="44" fillId="40" borderId="0" xfId="45" applyNumberFormat="1" applyFont="1" applyFill="1" applyBorder="1" applyAlignment="1" applyProtection="1">
      <alignment horizontal="center"/>
    </xf>
    <xf numFmtId="0" fontId="42" fillId="40" borderId="82" xfId="45" applyFont="1" applyFill="1" applyBorder="1" applyAlignment="1" applyProtection="1">
      <alignment horizontal="center"/>
    </xf>
    <xf numFmtId="0" fontId="46" fillId="39" borderId="84" xfId="45" applyFont="1" applyFill="1" applyBorder="1" applyAlignment="1">
      <alignment horizontal="center" vertical="center"/>
    </xf>
    <xf numFmtId="0" fontId="24" fillId="40" borderId="0" xfId="45" applyFont="1" applyFill="1" applyBorder="1" applyAlignment="1" applyProtection="1">
      <alignment vertical="center"/>
    </xf>
    <xf numFmtId="0" fontId="26" fillId="39" borderId="0" xfId="45" applyFont="1" applyFill="1" applyBorder="1" applyAlignment="1">
      <alignment vertical="center"/>
    </xf>
    <xf numFmtId="164" fontId="44" fillId="40" borderId="0" xfId="45" applyNumberFormat="1" applyFont="1" applyFill="1" applyBorder="1" applyAlignment="1" applyProtection="1">
      <alignment horizontal="center" vertical="center"/>
    </xf>
    <xf numFmtId="0" fontId="42" fillId="40" borderId="71" xfId="45" applyFont="1" applyFill="1" applyBorder="1" applyAlignment="1" applyProtection="1">
      <alignment horizontal="center" vertical="center"/>
    </xf>
    <xf numFmtId="0" fontId="42" fillId="38" borderId="85" xfId="45" applyFont="1" applyFill="1" applyBorder="1" applyAlignment="1">
      <alignment horizontal="center"/>
    </xf>
    <xf numFmtId="0" fontId="42" fillId="38" borderId="86" xfId="45" applyFont="1" applyFill="1" applyBorder="1" applyAlignment="1">
      <alignment horizontal="center"/>
    </xf>
    <xf numFmtId="0" fontId="42" fillId="38" borderId="87" xfId="45" applyFont="1" applyFill="1" applyBorder="1" applyAlignment="1">
      <alignment horizontal="center"/>
    </xf>
    <xf numFmtId="0" fontId="42" fillId="38" borderId="88" xfId="45" applyFont="1" applyFill="1" applyBorder="1" applyAlignment="1">
      <alignment horizontal="center"/>
    </xf>
    <xf numFmtId="0" fontId="42" fillId="38" borderId="89" xfId="45" applyFont="1" applyFill="1" applyBorder="1" applyAlignment="1">
      <alignment horizontal="center"/>
    </xf>
    <xf numFmtId="0" fontId="42" fillId="38" borderId="90" xfId="45" applyFont="1" applyFill="1" applyBorder="1" applyAlignment="1">
      <alignment horizontal="center"/>
    </xf>
    <xf numFmtId="0" fontId="24" fillId="40" borderId="83" xfId="45" applyFont="1" applyFill="1" applyBorder="1" applyAlignment="1" applyProtection="1">
      <alignment vertical="center"/>
    </xf>
    <xf numFmtId="0" fontId="26" fillId="39" borderId="0" xfId="45" applyFont="1" applyFill="1" applyAlignment="1">
      <alignment vertical="center"/>
    </xf>
    <xf numFmtId="0" fontId="42" fillId="38" borderId="91" xfId="45" applyFont="1" applyFill="1" applyBorder="1" applyAlignment="1">
      <alignment horizontal="center"/>
    </xf>
    <xf numFmtId="0" fontId="42" fillId="38" borderId="92" xfId="45" applyFont="1" applyFill="1" applyBorder="1" applyAlignment="1">
      <alignment horizontal="center"/>
    </xf>
    <xf numFmtId="0" fontId="42" fillId="38" borderId="93" xfId="45" applyFont="1" applyFill="1" applyBorder="1" applyAlignment="1">
      <alignment horizontal="center"/>
    </xf>
    <xf numFmtId="0" fontId="42" fillId="38" borderId="94" xfId="45" applyFont="1" applyFill="1" applyBorder="1" applyAlignment="1">
      <alignment horizontal="center"/>
    </xf>
    <xf numFmtId="0" fontId="44" fillId="39" borderId="0" xfId="45" applyFont="1" applyFill="1" applyBorder="1" applyAlignment="1">
      <alignment horizontal="center" vertical="center"/>
    </xf>
    <xf numFmtId="0" fontId="42" fillId="39" borderId="71" xfId="45" applyFont="1" applyFill="1" applyBorder="1" applyAlignment="1">
      <alignment horizontal="center" vertical="center"/>
    </xf>
    <xf numFmtId="0" fontId="24" fillId="38" borderId="95" xfId="45" applyFont="1" applyFill="1" applyBorder="1"/>
    <xf numFmtId="0" fontId="24" fillId="38" borderId="96" xfId="45" applyFont="1" applyFill="1" applyBorder="1"/>
    <xf numFmtId="166" fontId="24" fillId="38" borderId="96" xfId="45" applyNumberFormat="1" applyFont="1" applyFill="1" applyBorder="1"/>
    <xf numFmtId="166" fontId="24" fillId="38" borderId="90" xfId="45" applyNumberFormat="1" applyFont="1" applyFill="1" applyBorder="1"/>
    <xf numFmtId="0" fontId="44" fillId="39" borderId="97" xfId="45" applyFont="1" applyFill="1" applyBorder="1" applyAlignment="1">
      <alignment horizontal="center" vertical="center"/>
    </xf>
    <xf numFmtId="0" fontId="24" fillId="38" borderId="98" xfId="45" applyFont="1" applyFill="1" applyBorder="1"/>
    <xf numFmtId="0" fontId="24" fillId="38" borderId="99" xfId="45" applyFont="1" applyFill="1" applyBorder="1"/>
    <xf numFmtId="166" fontId="24" fillId="38" borderId="99" xfId="45" applyNumberFormat="1" applyFont="1" applyFill="1" applyBorder="1"/>
    <xf numFmtId="0" fontId="46" fillId="40" borderId="84" xfId="45" applyFont="1" applyFill="1" applyBorder="1" applyAlignment="1" applyProtection="1">
      <alignment horizontal="center" vertical="center"/>
    </xf>
    <xf numFmtId="0" fontId="46" fillId="39" borderId="100" xfId="45" applyFont="1" applyFill="1" applyBorder="1" applyAlignment="1">
      <alignment vertical="center"/>
    </xf>
    <xf numFmtId="0" fontId="42" fillId="32" borderId="101" xfId="45" applyFont="1" applyFill="1" applyBorder="1" applyAlignment="1">
      <alignment horizontal="center" vertical="center"/>
    </xf>
    <xf numFmtId="0" fontId="42" fillId="39" borderId="102" xfId="45" applyFont="1" applyFill="1" applyBorder="1" applyAlignment="1">
      <alignment horizontal="center" vertical="center"/>
    </xf>
    <xf numFmtId="2" fontId="44" fillId="40" borderId="0" xfId="45" applyNumberFormat="1" applyFont="1" applyFill="1" applyBorder="1" applyAlignment="1" applyProtection="1">
      <alignment horizontal="center"/>
    </xf>
    <xf numFmtId="0" fontId="42" fillId="32" borderId="103" xfId="45" applyFont="1" applyFill="1" applyBorder="1" applyAlignment="1">
      <alignment horizontal="center" vertical="center"/>
    </xf>
    <xf numFmtId="0" fontId="42" fillId="32" borderId="104" xfId="45" applyFont="1" applyFill="1" applyBorder="1" applyAlignment="1">
      <alignment horizontal="center" vertical="center"/>
    </xf>
    <xf numFmtId="0" fontId="24" fillId="38" borderId="105" xfId="45" applyFont="1" applyFill="1" applyBorder="1"/>
    <xf numFmtId="0" fontId="24" fillId="38" borderId="106" xfId="45" applyFont="1" applyFill="1" applyBorder="1"/>
    <xf numFmtId="166" fontId="24" fillId="38" borderId="106" xfId="45" applyNumberFormat="1" applyFont="1" applyFill="1" applyBorder="1"/>
    <xf numFmtId="166" fontId="24" fillId="38" borderId="107" xfId="45" applyNumberFormat="1" applyFont="1" applyFill="1" applyBorder="1"/>
    <xf numFmtId="0" fontId="46" fillId="39" borderId="108" xfId="45" applyFont="1" applyFill="1" applyBorder="1" applyAlignment="1">
      <alignment horizontal="center" vertical="center"/>
    </xf>
    <xf numFmtId="0" fontId="24" fillId="40" borderId="70" xfId="45" applyFont="1" applyFill="1" applyBorder="1" applyProtection="1"/>
    <xf numFmtId="2" fontId="44" fillId="40" borderId="70" xfId="45" applyNumberFormat="1" applyFont="1" applyFill="1" applyBorder="1" applyAlignment="1" applyProtection="1">
      <alignment horizontal="center"/>
    </xf>
    <xf numFmtId="0" fontId="42" fillId="32" borderId="109" xfId="45" applyFont="1" applyFill="1" applyBorder="1" applyAlignment="1">
      <alignment horizontal="center" vertical="center"/>
    </xf>
    <xf numFmtId="0" fontId="26" fillId="39" borderId="82" xfId="45" applyFont="1" applyFill="1" applyBorder="1" applyAlignment="1">
      <alignment vertical="center"/>
    </xf>
    <xf numFmtId="0" fontId="40" fillId="39" borderId="71" xfId="45" applyFont="1" applyFill="1" applyBorder="1" applyAlignment="1">
      <alignment vertical="center"/>
    </xf>
    <xf numFmtId="0" fontId="26" fillId="47" borderId="0" xfId="45" applyFont="1" applyFill="1" applyAlignment="1">
      <alignment vertical="center"/>
    </xf>
    <xf numFmtId="0" fontId="26" fillId="47" borderId="110" xfId="45" applyFont="1" applyFill="1" applyBorder="1" applyAlignment="1">
      <alignment vertical="center"/>
    </xf>
    <xf numFmtId="0" fontId="49" fillId="39" borderId="84" xfId="45" applyFont="1" applyFill="1" applyBorder="1" applyAlignment="1" applyProtection="1">
      <alignment horizontal="center" vertical="center"/>
    </xf>
    <xf numFmtId="0" fontId="44" fillId="39" borderId="0" xfId="45" applyFont="1" applyFill="1" applyBorder="1" applyAlignment="1" applyProtection="1">
      <alignment horizontal="center" vertical="center"/>
    </xf>
    <xf numFmtId="0" fontId="49" fillId="39" borderId="71" xfId="45" applyFont="1" applyFill="1" applyBorder="1" applyAlignment="1" applyProtection="1">
      <alignment horizontal="center" vertical="center"/>
    </xf>
    <xf numFmtId="0" fontId="26" fillId="47" borderId="71" xfId="45" applyFont="1" applyFill="1" applyBorder="1" applyAlignment="1">
      <alignment vertical="center"/>
    </xf>
    <xf numFmtId="0" fontId="44" fillId="40" borderId="0" xfId="45" applyFont="1" applyFill="1" applyBorder="1" applyProtection="1"/>
    <xf numFmtId="164" fontId="44" fillId="40" borderId="0" xfId="45" applyNumberFormat="1" applyFont="1" applyFill="1" applyBorder="1" applyProtection="1"/>
    <xf numFmtId="0" fontId="42" fillId="40" borderId="71" xfId="45" applyFont="1" applyFill="1" applyBorder="1" applyAlignment="1" applyProtection="1">
      <alignment horizontal="center"/>
    </xf>
    <xf numFmtId="0" fontId="26" fillId="39" borderId="111" xfId="45" applyFont="1" applyFill="1" applyBorder="1" applyAlignment="1">
      <alignment vertical="center"/>
    </xf>
    <xf numFmtId="0" fontId="23" fillId="39" borderId="0" xfId="45" applyFont="1" applyFill="1" applyBorder="1" applyAlignment="1">
      <alignment horizontal="left" vertical="center"/>
    </xf>
    <xf numFmtId="0" fontId="44" fillId="39" borderId="0" xfId="45" applyFont="1" applyFill="1" applyAlignment="1">
      <alignment horizontal="center" vertical="center"/>
    </xf>
    <xf numFmtId="0" fontId="42" fillId="39" borderId="71" xfId="45" applyFont="1" applyFill="1" applyBorder="1" applyAlignment="1">
      <alignment vertical="center"/>
    </xf>
    <xf numFmtId="166" fontId="44" fillId="40" borderId="0" xfId="45" applyNumberFormat="1" applyFont="1" applyFill="1" applyBorder="1" applyProtection="1"/>
    <xf numFmtId="0" fontId="24" fillId="47" borderId="71" xfId="45" applyFont="1" applyFill="1" applyBorder="1" applyAlignment="1">
      <alignment vertical="center"/>
    </xf>
    <xf numFmtId="0" fontId="23" fillId="39" borderId="0" xfId="45" applyFont="1" applyFill="1" applyBorder="1" applyAlignment="1">
      <alignment vertical="center"/>
    </xf>
    <xf numFmtId="2" fontId="44" fillId="41" borderId="25" xfId="45" applyNumberFormat="1" applyFont="1" applyFill="1" applyBorder="1" applyProtection="1">
      <protection locked="0"/>
    </xf>
    <xf numFmtId="165" fontId="44" fillId="40" borderId="0" xfId="45" applyNumberFormat="1" applyFont="1" applyFill="1" applyBorder="1" applyProtection="1"/>
    <xf numFmtId="2" fontId="47" fillId="40" borderId="104" xfId="45" applyNumberFormat="1" applyFont="1" applyFill="1" applyBorder="1" applyProtection="1"/>
    <xf numFmtId="0" fontId="42" fillId="32" borderId="112" xfId="45" applyFont="1" applyFill="1" applyBorder="1" applyAlignment="1">
      <alignment horizontal="center" vertical="center"/>
    </xf>
    <xf numFmtId="0" fontId="26" fillId="39" borderId="108" xfId="45" applyFont="1" applyFill="1" applyBorder="1" applyAlignment="1">
      <alignment vertical="center"/>
    </xf>
    <xf numFmtId="0" fontId="26" fillId="39" borderId="70" xfId="45" applyFont="1" applyFill="1" applyBorder="1" applyAlignment="1">
      <alignment vertical="center"/>
    </xf>
    <xf numFmtId="0" fontId="26" fillId="39" borderId="113" xfId="45" applyFont="1" applyFill="1" applyBorder="1" applyAlignment="1">
      <alignment vertical="center"/>
    </xf>
    <xf numFmtId="0" fontId="24" fillId="56" borderId="114" xfId="45" applyFont="1" applyFill="1" applyBorder="1" applyAlignment="1">
      <alignment horizontal="center"/>
    </xf>
    <xf numFmtId="0" fontId="24" fillId="57" borderId="115" xfId="45" applyFont="1" applyFill="1" applyBorder="1" applyAlignment="1">
      <alignment horizontal="center"/>
    </xf>
    <xf numFmtId="0" fontId="40" fillId="32" borderId="0" xfId="45" applyFont="1" applyFill="1" applyAlignment="1">
      <alignment vertical="center"/>
    </xf>
    <xf numFmtId="0" fontId="46" fillId="59" borderId="119" xfId="45" applyFont="1" applyFill="1" applyBorder="1" applyAlignment="1">
      <alignment horizontal="center" vertical="center"/>
    </xf>
    <xf numFmtId="0" fontId="24" fillId="60" borderId="0" xfId="45" applyFont="1" applyFill="1" applyBorder="1" applyProtection="1"/>
    <xf numFmtId="0" fontId="44" fillId="60" borderId="0" xfId="45" applyFont="1" applyFill="1" applyBorder="1" applyAlignment="1" applyProtection="1">
      <alignment horizontal="center" vertical="center"/>
    </xf>
    <xf numFmtId="165" fontId="47" fillId="60" borderId="0" xfId="45" applyNumberFormat="1" applyFont="1" applyFill="1" applyBorder="1" applyAlignment="1" applyProtection="1">
      <alignment horizontal="center" vertical="center"/>
    </xf>
    <xf numFmtId="0" fontId="42" fillId="60" borderId="120" xfId="45" applyFont="1" applyFill="1" applyBorder="1" applyAlignment="1" applyProtection="1">
      <alignment horizontal="center"/>
    </xf>
    <xf numFmtId="0" fontId="46" fillId="59" borderId="121" xfId="45" applyFont="1" applyFill="1" applyBorder="1" applyAlignment="1">
      <alignment horizontal="center" vertical="center"/>
    </xf>
    <xf numFmtId="2" fontId="44" fillId="41" borderId="122" xfId="45" applyNumberFormat="1" applyFont="1" applyFill="1" applyBorder="1" applyAlignment="1" applyProtection="1">
      <alignment horizontal="center" vertical="center"/>
      <protection locked="0"/>
    </xf>
    <xf numFmtId="0" fontId="46" fillId="62" borderId="126" xfId="45" applyFont="1" applyFill="1" applyBorder="1" applyAlignment="1">
      <alignment horizontal="center" vertical="center"/>
    </xf>
    <xf numFmtId="0" fontId="23" fillId="63" borderId="127" xfId="45" applyFont="1" applyFill="1" applyBorder="1" applyProtection="1"/>
    <xf numFmtId="0" fontId="44" fillId="63" borderId="128" xfId="45" applyFont="1" applyFill="1" applyBorder="1" applyAlignment="1" applyProtection="1">
      <alignment horizontal="center" vertical="center"/>
    </xf>
    <xf numFmtId="165" fontId="47" fillId="63" borderId="129" xfId="45" applyNumberFormat="1" applyFont="1" applyFill="1" applyBorder="1" applyAlignment="1" applyProtection="1">
      <alignment horizontal="center" vertical="center"/>
    </xf>
    <xf numFmtId="0" fontId="42" fillId="63" borderId="130" xfId="45" applyFont="1" applyFill="1" applyBorder="1" applyAlignment="1" applyProtection="1">
      <alignment horizontal="center"/>
    </xf>
    <xf numFmtId="0" fontId="40" fillId="33" borderId="0" xfId="45" applyFont="1" applyFill="1" applyAlignment="1">
      <alignment vertical="center"/>
    </xf>
    <xf numFmtId="0" fontId="50" fillId="34" borderId="0" xfId="45" applyFont="1" applyFill="1" applyAlignment="1">
      <alignment vertical="center"/>
    </xf>
    <xf numFmtId="0" fontId="51" fillId="32" borderId="0" xfId="45" applyFont="1" applyFill="1" applyAlignment="1">
      <alignment vertical="center"/>
    </xf>
    <xf numFmtId="0" fontId="49" fillId="32" borderId="0" xfId="45" applyFont="1" applyFill="1" applyBorder="1" applyAlignment="1" applyProtection="1">
      <alignment horizontal="center" vertical="center"/>
    </xf>
    <xf numFmtId="0" fontId="24" fillId="43" borderId="0" xfId="45" applyFont="1" applyFill="1" applyBorder="1" applyAlignment="1" applyProtection="1">
      <alignment horizontal="left"/>
    </xf>
    <xf numFmtId="0" fontId="49" fillId="51" borderId="57" xfId="45" applyFont="1" applyFill="1" applyBorder="1" applyAlignment="1" applyProtection="1">
      <alignment horizontal="center" vertical="center"/>
    </xf>
    <xf numFmtId="0" fontId="42" fillId="51" borderId="64" xfId="45" applyFont="1" applyFill="1" applyBorder="1" applyAlignment="1" applyProtection="1">
      <alignment horizontal="left" vertical="center"/>
    </xf>
    <xf numFmtId="0" fontId="49" fillId="51" borderId="0" xfId="45" applyFont="1" applyFill="1" applyBorder="1" applyAlignment="1" applyProtection="1">
      <alignment horizontal="center" vertical="center"/>
    </xf>
    <xf numFmtId="0" fontId="47" fillId="51" borderId="0" xfId="45" applyFont="1" applyFill="1" applyBorder="1" applyAlignment="1" applyProtection="1">
      <alignment horizontal="center" vertical="center"/>
    </xf>
    <xf numFmtId="0" fontId="53" fillId="51" borderId="56" xfId="45" applyFont="1" applyFill="1" applyBorder="1" applyAlignment="1" applyProtection="1">
      <alignment horizontal="center" vertical="center"/>
    </xf>
    <xf numFmtId="0" fontId="42" fillId="48" borderId="131" xfId="45" applyFont="1" applyFill="1" applyBorder="1" applyAlignment="1" applyProtection="1">
      <alignment horizontal="center" vertical="center"/>
    </xf>
    <xf numFmtId="0" fontId="42" fillId="48" borderId="132" xfId="45" applyFont="1" applyFill="1" applyBorder="1" applyAlignment="1" applyProtection="1">
      <alignment horizontal="center" vertical="center"/>
    </xf>
    <xf numFmtId="0" fontId="42" fillId="48" borderId="133" xfId="45" applyFont="1" applyFill="1" applyBorder="1" applyAlignment="1" applyProtection="1">
      <alignment horizontal="center" vertical="center"/>
    </xf>
    <xf numFmtId="0" fontId="42" fillId="48" borderId="134" xfId="45" applyFont="1" applyFill="1" applyBorder="1" applyAlignment="1" applyProtection="1">
      <alignment horizontal="center" vertical="center"/>
    </xf>
    <xf numFmtId="11" fontId="56" fillId="41" borderId="25" xfId="45" applyNumberFormat="1" applyFont="1" applyFill="1" applyBorder="1" applyAlignment="1" applyProtection="1">
      <alignment vertical="center"/>
      <protection locked="0"/>
    </xf>
    <xf numFmtId="164" fontId="44" fillId="52" borderId="135" xfId="45" applyNumberFormat="1" applyFont="1" applyFill="1" applyBorder="1" applyAlignment="1" applyProtection="1">
      <alignment horizontal="center" vertical="center"/>
    </xf>
    <xf numFmtId="0" fontId="53" fillId="52" borderId="56" xfId="45" applyFont="1" applyFill="1" applyBorder="1" applyAlignment="1" applyProtection="1">
      <alignment horizontal="center" vertical="center"/>
    </xf>
    <xf numFmtId="0" fontId="24" fillId="45" borderId="0" xfId="45" applyFont="1" applyFill="1" applyBorder="1" applyAlignment="1" applyProtection="1">
      <alignment horizontal="center" vertical="center"/>
    </xf>
    <xf numFmtId="0" fontId="24" fillId="50" borderId="137" xfId="45" applyFont="1" applyFill="1" applyBorder="1" applyAlignment="1" applyProtection="1">
      <alignment vertical="center"/>
    </xf>
    <xf numFmtId="2" fontId="24" fillId="50" borderId="58" xfId="45" applyNumberFormat="1" applyFont="1" applyFill="1" applyBorder="1" applyAlignment="1" applyProtection="1">
      <alignment vertical="center"/>
    </xf>
    <xf numFmtId="2" fontId="24" fillId="50" borderId="138" xfId="45" applyNumberFormat="1" applyFont="1" applyFill="1" applyBorder="1" applyAlignment="1" applyProtection="1">
      <alignment vertical="center"/>
    </xf>
    <xf numFmtId="2" fontId="24" fillId="64" borderId="139" xfId="45" applyNumberFormat="1" applyFont="1" applyFill="1" applyBorder="1" applyAlignment="1" applyProtection="1">
      <alignment vertical="center"/>
    </xf>
    <xf numFmtId="2" fontId="24" fillId="64" borderId="138" xfId="45" applyNumberFormat="1" applyFont="1" applyFill="1" applyBorder="1" applyAlignment="1" applyProtection="1">
      <alignment vertical="center"/>
    </xf>
    <xf numFmtId="0" fontId="51" fillId="52" borderId="0" xfId="45" applyFont="1" applyFill="1" applyBorder="1" applyAlignment="1" applyProtection="1">
      <alignment vertical="center"/>
    </xf>
    <xf numFmtId="0" fontId="57" fillId="45" borderId="0" xfId="45" applyFont="1" applyFill="1" applyBorder="1" applyAlignment="1" applyProtection="1">
      <alignment horizontal="right" vertical="center"/>
    </xf>
    <xf numFmtId="0" fontId="57" fillId="45" borderId="0" xfId="45" applyFont="1" applyFill="1" applyBorder="1" applyAlignment="1" applyProtection="1">
      <alignment vertical="center"/>
    </xf>
    <xf numFmtId="1" fontId="24" fillId="50" borderId="137" xfId="45" applyNumberFormat="1" applyFont="1" applyFill="1" applyBorder="1" applyAlignment="1" applyProtection="1">
      <alignment vertical="center"/>
    </xf>
    <xf numFmtId="2" fontId="24" fillId="50" borderId="141" xfId="45" applyNumberFormat="1" applyFont="1" applyFill="1" applyBorder="1" applyAlignment="1" applyProtection="1">
      <alignment vertical="center"/>
    </xf>
    <xf numFmtId="2" fontId="24" fillId="64" borderId="142" xfId="45" applyNumberFormat="1" applyFont="1" applyFill="1" applyBorder="1" applyAlignment="1" applyProtection="1">
      <alignment vertical="center"/>
    </xf>
    <xf numFmtId="2" fontId="24" fillId="64" borderId="141" xfId="45" applyNumberFormat="1" applyFont="1" applyFill="1" applyBorder="1" applyAlignment="1" applyProtection="1">
      <alignment vertical="center"/>
    </xf>
    <xf numFmtId="11" fontId="57" fillId="45" borderId="0" xfId="45" applyNumberFormat="1" applyFont="1" applyFill="1" applyBorder="1" applyAlignment="1" applyProtection="1">
      <alignment horizontal="right" vertical="center"/>
    </xf>
    <xf numFmtId="0" fontId="57" fillId="45" borderId="0" xfId="45" applyFont="1" applyFill="1" applyBorder="1" applyAlignment="1" applyProtection="1">
      <alignment horizontal="left" vertical="center"/>
    </xf>
    <xf numFmtId="0" fontId="24" fillId="52" borderId="64" xfId="45" applyFont="1" applyFill="1" applyBorder="1" applyAlignment="1" applyProtection="1">
      <alignment vertical="center"/>
    </xf>
    <xf numFmtId="2" fontId="24" fillId="50" borderId="143" xfId="45" applyNumberFormat="1" applyFont="1" applyFill="1" applyBorder="1" applyAlignment="1" applyProtection="1">
      <alignment vertical="center"/>
    </xf>
    <xf numFmtId="1" fontId="24" fillId="50" borderId="144" xfId="45" applyNumberFormat="1" applyFont="1" applyFill="1" applyBorder="1" applyAlignment="1" applyProtection="1">
      <alignment vertical="center"/>
    </xf>
    <xf numFmtId="2" fontId="24" fillId="50" borderId="145" xfId="45" applyNumberFormat="1" applyFont="1" applyFill="1" applyBorder="1" applyAlignment="1" applyProtection="1">
      <alignment vertical="center"/>
    </xf>
    <xf numFmtId="2" fontId="24" fillId="50" borderId="146" xfId="45" applyNumberFormat="1" applyFont="1" applyFill="1" applyBorder="1" applyAlignment="1" applyProtection="1">
      <alignment vertical="center"/>
    </xf>
    <xf numFmtId="2" fontId="24" fillId="64" borderId="147" xfId="45" applyNumberFormat="1" applyFont="1" applyFill="1" applyBorder="1" applyAlignment="1" applyProtection="1">
      <alignment vertical="center"/>
    </xf>
    <xf numFmtId="2" fontId="24" fillId="64" borderId="148" xfId="45" applyNumberFormat="1" applyFont="1" applyFill="1" applyBorder="1" applyAlignment="1" applyProtection="1">
      <alignment vertical="center"/>
    </xf>
    <xf numFmtId="0" fontId="24" fillId="51" borderId="64" xfId="45" applyFont="1" applyFill="1" applyBorder="1" applyAlignment="1">
      <alignment vertical="center"/>
    </xf>
    <xf numFmtId="0" fontId="53" fillId="51" borderId="56" xfId="45" applyFont="1" applyFill="1" applyBorder="1" applyAlignment="1">
      <alignment horizontal="center" vertical="center"/>
    </xf>
    <xf numFmtId="0" fontId="49" fillId="51" borderId="149" xfId="45" applyFont="1" applyFill="1" applyBorder="1" applyAlignment="1" applyProtection="1">
      <alignment horizontal="center" vertical="center"/>
    </xf>
    <xf numFmtId="2" fontId="24" fillId="50" borderId="100" xfId="45" applyNumberFormat="1" applyFont="1" applyFill="1" applyBorder="1" applyAlignment="1" applyProtection="1">
      <alignment vertical="center"/>
    </xf>
    <xf numFmtId="0" fontId="56" fillId="41" borderId="150" xfId="45" applyNumberFormat="1" applyFont="1" applyFill="1" applyBorder="1" applyAlignment="1" applyProtection="1">
      <alignment vertical="center"/>
      <protection locked="0"/>
    </xf>
    <xf numFmtId="0" fontId="44" fillId="52" borderId="135" xfId="45" applyFont="1" applyFill="1" applyBorder="1" applyAlignment="1" applyProtection="1">
      <alignment horizontal="center" vertical="center"/>
    </xf>
    <xf numFmtId="0" fontId="24" fillId="45" borderId="0" xfId="45" applyFont="1" applyFill="1" applyBorder="1" applyAlignment="1" applyProtection="1">
      <alignment horizontal="right" vertical="center"/>
    </xf>
    <xf numFmtId="0" fontId="56" fillId="41" borderId="25" xfId="45" applyNumberFormat="1" applyFont="1" applyFill="1" applyBorder="1" applyAlignment="1" applyProtection="1">
      <alignment vertical="center"/>
      <protection locked="0"/>
    </xf>
    <xf numFmtId="0" fontId="53" fillId="51" borderId="56" xfId="45" applyNumberFormat="1" applyFont="1" applyFill="1" applyBorder="1" applyAlignment="1">
      <alignment horizontal="center" vertical="center"/>
    </xf>
    <xf numFmtId="0" fontId="42" fillId="45" borderId="0" xfId="45" applyFont="1" applyFill="1" applyBorder="1" applyAlignment="1" applyProtection="1">
      <alignment horizontal="right" vertical="center"/>
    </xf>
    <xf numFmtId="0" fontId="42" fillId="45" borderId="0" xfId="45" applyFont="1" applyFill="1" applyBorder="1" applyAlignment="1" applyProtection="1">
      <alignment horizontal="center" vertical="center"/>
    </xf>
    <xf numFmtId="0" fontId="51" fillId="51" borderId="0" xfId="45" applyFont="1" applyFill="1" applyBorder="1" applyAlignment="1">
      <alignment vertical="center"/>
    </xf>
    <xf numFmtId="0" fontId="44" fillId="51" borderId="0" xfId="45" applyFont="1" applyFill="1" applyBorder="1" applyAlignment="1">
      <alignment horizontal="center" vertical="center"/>
    </xf>
    <xf numFmtId="0" fontId="53" fillId="51" borderId="56" xfId="45" applyFont="1" applyFill="1" applyBorder="1" applyAlignment="1">
      <alignment vertical="center"/>
    </xf>
    <xf numFmtId="0" fontId="24" fillId="32" borderId="0" xfId="45" applyFont="1" applyFill="1" applyAlignment="1">
      <alignment horizontal="right" vertical="center"/>
    </xf>
    <xf numFmtId="2" fontId="24" fillId="50" borderId="151" xfId="45" applyNumberFormat="1" applyFont="1" applyFill="1" applyBorder="1" applyAlignment="1" applyProtection="1">
      <alignment vertical="center"/>
    </xf>
    <xf numFmtId="2" fontId="24" fillId="50" borderId="152" xfId="45" applyNumberFormat="1" applyFont="1" applyFill="1" applyBorder="1" applyAlignment="1" applyProtection="1">
      <alignment vertical="center"/>
    </xf>
    <xf numFmtId="2" fontId="24" fillId="64" borderId="153" xfId="45" applyNumberFormat="1" applyFont="1" applyFill="1" applyBorder="1" applyAlignment="1" applyProtection="1">
      <alignment vertical="center"/>
    </xf>
    <xf numFmtId="2" fontId="24" fillId="64" borderId="143" xfId="45" applyNumberFormat="1" applyFont="1" applyFill="1" applyBorder="1" applyAlignment="1" applyProtection="1">
      <alignment vertical="center"/>
    </xf>
    <xf numFmtId="0" fontId="24" fillId="51" borderId="64" xfId="45" applyNumberFormat="1" applyFont="1" applyFill="1" applyBorder="1" applyAlignment="1">
      <alignment horizontal="left" vertical="center"/>
    </xf>
    <xf numFmtId="0" fontId="26" fillId="51" borderId="63" xfId="45" applyFont="1" applyFill="1" applyBorder="1" applyAlignment="1">
      <alignment vertical="center"/>
    </xf>
    <xf numFmtId="0" fontId="26" fillId="51" borderId="0" xfId="45" applyFont="1" applyFill="1" applyBorder="1" applyAlignment="1">
      <alignment vertical="center"/>
    </xf>
    <xf numFmtId="0" fontId="58" fillId="51" borderId="0" xfId="45" applyFont="1" applyFill="1" applyBorder="1" applyAlignment="1">
      <alignment horizontal="center" vertical="center"/>
    </xf>
    <xf numFmtId="0" fontId="59" fillId="51" borderId="56" xfId="45" applyFont="1" applyFill="1" applyBorder="1" applyAlignment="1">
      <alignment vertical="center"/>
    </xf>
    <xf numFmtId="0" fontId="26" fillId="51" borderId="57" xfId="45" applyFont="1" applyFill="1" applyBorder="1" applyAlignment="1">
      <alignment vertical="center"/>
    </xf>
    <xf numFmtId="0" fontId="50" fillId="51" borderId="0" xfId="45" applyFont="1" applyFill="1" applyBorder="1" applyAlignment="1">
      <alignment vertical="center"/>
    </xf>
    <xf numFmtId="0" fontId="49" fillId="51" borderId="63" xfId="45" applyFont="1" applyFill="1" applyBorder="1" applyAlignment="1" applyProtection="1">
      <alignment horizontal="center" vertical="center"/>
    </xf>
    <xf numFmtId="0" fontId="42" fillId="51" borderId="0" xfId="45" applyFont="1" applyFill="1" applyBorder="1" applyAlignment="1" applyProtection="1">
      <alignment horizontal="left" vertical="center"/>
    </xf>
    <xf numFmtId="11" fontId="44" fillId="51" borderId="0" xfId="45" applyNumberFormat="1" applyFont="1" applyFill="1" applyBorder="1" applyAlignment="1">
      <alignment horizontal="center" vertical="center"/>
    </xf>
    <xf numFmtId="164" fontId="24" fillId="51" borderId="0" xfId="45" applyNumberFormat="1" applyFont="1" applyFill="1" applyBorder="1" applyAlignment="1">
      <alignment vertical="center"/>
    </xf>
    <xf numFmtId="0" fontId="26" fillId="51" borderId="64" xfId="45" applyFont="1" applyFill="1" applyBorder="1" applyAlignment="1">
      <alignment vertical="center"/>
    </xf>
    <xf numFmtId="0" fontId="24" fillId="51" borderId="63" xfId="45" applyFont="1" applyFill="1" applyBorder="1" applyAlignment="1">
      <alignment vertical="center"/>
    </xf>
    <xf numFmtId="0" fontId="42" fillId="52" borderId="64" xfId="45" applyFont="1" applyFill="1" applyBorder="1" applyAlignment="1" applyProtection="1">
      <alignment vertical="center"/>
    </xf>
    <xf numFmtId="0" fontId="41" fillId="52" borderId="0" xfId="45" applyFont="1" applyFill="1" applyBorder="1" applyAlignment="1" applyProtection="1">
      <alignment vertical="center"/>
    </xf>
    <xf numFmtId="0" fontId="53" fillId="52" borderId="62" xfId="45" applyFont="1" applyFill="1" applyBorder="1" applyAlignment="1" applyProtection="1">
      <alignment horizontal="center" vertical="center"/>
    </xf>
    <xf numFmtId="0" fontId="41" fillId="52" borderId="60" xfId="45" applyFont="1" applyFill="1" applyBorder="1" applyAlignment="1" applyProtection="1">
      <alignment vertical="center"/>
    </xf>
    <xf numFmtId="0" fontId="50" fillId="32" borderId="0" xfId="45" applyFont="1" applyFill="1" applyAlignment="1">
      <alignment vertical="center"/>
    </xf>
    <xf numFmtId="1" fontId="24" fillId="50" borderId="155" xfId="45" applyNumberFormat="1" applyFont="1" applyFill="1" applyBorder="1" applyAlignment="1" applyProtection="1">
      <alignment vertical="center"/>
    </xf>
    <xf numFmtId="2" fontId="24" fillId="64" borderId="156" xfId="45" applyNumberFormat="1" applyFont="1" applyFill="1" applyBorder="1" applyAlignment="1" applyProtection="1">
      <alignment vertical="center"/>
    </xf>
    <xf numFmtId="2" fontId="24" fillId="64" borderId="157" xfId="45" applyNumberFormat="1" applyFont="1" applyFill="1" applyBorder="1" applyAlignment="1" applyProtection="1">
      <alignment vertical="center"/>
    </xf>
    <xf numFmtId="0" fontId="51" fillId="32" borderId="0" xfId="45" applyFont="1" applyFill="1" applyBorder="1" applyAlignment="1">
      <alignment vertical="center"/>
    </xf>
    <xf numFmtId="1" fontId="24" fillId="45" borderId="158" xfId="45" applyNumberFormat="1" applyFont="1" applyFill="1" applyBorder="1" applyAlignment="1" applyProtection="1">
      <alignment vertical="center"/>
    </xf>
    <xf numFmtId="2" fontId="24" fillId="45" borderId="158" xfId="45" applyNumberFormat="1" applyFont="1" applyFill="1" applyBorder="1" applyAlignment="1" applyProtection="1">
      <alignment vertical="center"/>
    </xf>
    <xf numFmtId="0" fontId="24" fillId="0" borderId="0" xfId="45" applyFont="1" applyFill="1" applyAlignment="1">
      <alignment vertical="center"/>
    </xf>
    <xf numFmtId="1" fontId="24" fillId="45" borderId="0" xfId="45" applyNumberFormat="1" applyFont="1" applyFill="1" applyBorder="1" applyAlignment="1" applyProtection="1">
      <alignment vertical="center"/>
    </xf>
    <xf numFmtId="2" fontId="24" fillId="45" borderId="0" xfId="45" applyNumberFormat="1" applyFont="1" applyFill="1" applyBorder="1" applyAlignment="1" applyProtection="1">
      <alignment vertical="center"/>
    </xf>
    <xf numFmtId="0" fontId="49" fillId="39" borderId="162" xfId="45" applyFont="1" applyFill="1" applyBorder="1" applyAlignment="1" applyProtection="1">
      <alignment horizontal="center" vertical="center"/>
    </xf>
    <xf numFmtId="0" fontId="47" fillId="39" borderId="0" xfId="45" applyFont="1" applyFill="1" applyBorder="1" applyAlignment="1" applyProtection="1">
      <alignment horizontal="center" vertical="center"/>
    </xf>
    <xf numFmtId="0" fontId="49" fillId="39" borderId="163" xfId="45" applyFont="1" applyFill="1" applyBorder="1" applyAlignment="1" applyProtection="1">
      <alignment horizontal="center" vertical="center"/>
    </xf>
    <xf numFmtId="0" fontId="42" fillId="39" borderId="158" xfId="45" applyFont="1" applyFill="1" applyBorder="1" applyAlignment="1" applyProtection="1">
      <alignment horizontal="left" vertical="center"/>
    </xf>
    <xf numFmtId="0" fontId="49" fillId="32" borderId="0" xfId="45" applyFont="1" applyFill="1" applyBorder="1" applyAlignment="1" applyProtection="1">
      <alignment vertical="center"/>
    </xf>
    <xf numFmtId="0" fontId="46" fillId="39" borderId="111" xfId="45" applyFont="1" applyFill="1" applyBorder="1" applyAlignment="1">
      <alignment horizontal="center" vertical="center"/>
    </xf>
    <xf numFmtId="0" fontId="50" fillId="39" borderId="0" xfId="45" applyFont="1" applyFill="1" applyAlignment="1">
      <alignment vertical="center"/>
    </xf>
    <xf numFmtId="0" fontId="58" fillId="39" borderId="0" xfId="45" applyFont="1" applyFill="1" applyAlignment="1">
      <alignment horizontal="center" vertical="center"/>
    </xf>
    <xf numFmtId="0" fontId="46" fillId="40" borderId="82" xfId="45" applyFont="1" applyFill="1" applyBorder="1" applyAlignment="1" applyProtection="1">
      <alignment horizontal="center" vertical="center"/>
    </xf>
    <xf numFmtId="2" fontId="44" fillId="39" borderId="100" xfId="45" applyNumberFormat="1" applyFont="1" applyFill="1" applyBorder="1" applyAlignment="1">
      <alignment horizontal="center" vertical="center"/>
    </xf>
    <xf numFmtId="0" fontId="58" fillId="39" borderId="0" xfId="45" applyFont="1" applyFill="1" applyBorder="1" applyAlignment="1">
      <alignment horizontal="center" vertical="center"/>
    </xf>
    <xf numFmtId="0" fontId="24" fillId="39" borderId="82" xfId="45" applyFont="1" applyFill="1" applyBorder="1" applyAlignment="1">
      <alignment vertical="center"/>
    </xf>
    <xf numFmtId="0" fontId="24" fillId="39" borderId="0" xfId="45" applyFont="1" applyFill="1" applyBorder="1" applyAlignment="1">
      <alignment vertical="center"/>
    </xf>
    <xf numFmtId="0" fontId="51" fillId="39" borderId="0" xfId="45" applyFont="1" applyFill="1" applyBorder="1" applyAlignment="1">
      <alignment vertical="center"/>
    </xf>
    <xf numFmtId="0" fontId="41" fillId="39" borderId="71" xfId="45" applyFont="1" applyFill="1" applyBorder="1" applyAlignment="1">
      <alignment vertical="center"/>
    </xf>
    <xf numFmtId="0" fontId="49" fillId="39" borderId="82" xfId="45" applyFont="1" applyFill="1" applyBorder="1" applyAlignment="1" applyProtection="1">
      <alignment horizontal="center" vertical="center"/>
    </xf>
    <xf numFmtId="0" fontId="60" fillId="32" borderId="0" xfId="45" applyFont="1" applyFill="1" applyBorder="1" applyAlignment="1" applyProtection="1">
      <alignment horizontal="center" vertical="center"/>
    </xf>
    <xf numFmtId="0" fontId="60" fillId="33" borderId="0" xfId="45" applyFont="1" applyFill="1" applyBorder="1" applyAlignment="1" applyProtection="1">
      <alignment horizontal="center" vertical="center"/>
    </xf>
    <xf numFmtId="0" fontId="24" fillId="39" borderId="82" xfId="45" applyFont="1" applyFill="1" applyBorder="1" applyAlignment="1">
      <alignment horizontal="center" vertical="center"/>
    </xf>
    <xf numFmtId="0" fontId="44" fillId="40" borderId="0" xfId="45" applyFont="1" applyFill="1" applyBorder="1" applyAlignment="1" applyProtection="1">
      <alignment horizontal="center"/>
    </xf>
    <xf numFmtId="0" fontId="42" fillId="45" borderId="0" xfId="45" applyFont="1" applyFill="1" applyBorder="1" applyAlignment="1" applyProtection="1">
      <alignment horizontal="center"/>
    </xf>
    <xf numFmtId="0" fontId="57" fillId="45" borderId="0" xfId="45" applyFont="1" applyFill="1" applyBorder="1" applyAlignment="1">
      <alignment horizontal="centerContinuous"/>
    </xf>
    <xf numFmtId="0" fontId="57" fillId="45" borderId="0" xfId="45" applyFont="1" applyFill="1" applyBorder="1"/>
    <xf numFmtId="0" fontId="57" fillId="46" borderId="0" xfId="45" applyFont="1" applyFill="1" applyBorder="1" applyAlignment="1">
      <alignment horizontal="centerContinuous"/>
    </xf>
    <xf numFmtId="0" fontId="57" fillId="45" borderId="0" xfId="45" applyFont="1" applyFill="1" applyBorder="1" applyAlignment="1">
      <alignment horizontal="center"/>
    </xf>
    <xf numFmtId="0" fontId="57" fillId="46" borderId="0" xfId="45" applyFont="1" applyFill="1" applyBorder="1" applyAlignment="1">
      <alignment horizontal="center"/>
    </xf>
    <xf numFmtId="166" fontId="57" fillId="45" borderId="0" xfId="45" applyNumberFormat="1" applyFont="1" applyFill="1" applyBorder="1"/>
    <xf numFmtId="0" fontId="57" fillId="46" borderId="0" xfId="45" applyFont="1" applyFill="1" applyBorder="1"/>
    <xf numFmtId="166" fontId="57" fillId="46" borderId="0" xfId="45" applyNumberFormat="1" applyFont="1" applyFill="1" applyBorder="1"/>
    <xf numFmtId="0" fontId="51" fillId="40" borderId="0" xfId="45" applyFont="1" applyFill="1" applyBorder="1" applyProtection="1"/>
    <xf numFmtId="164" fontId="41" fillId="40" borderId="0" xfId="45" applyNumberFormat="1" applyFont="1" applyFill="1" applyBorder="1" applyProtection="1"/>
    <xf numFmtId="0" fontId="23" fillId="39" borderId="71" xfId="45" applyFont="1" applyFill="1" applyBorder="1" applyAlignment="1">
      <alignment vertical="center"/>
    </xf>
    <xf numFmtId="0" fontId="44" fillId="40" borderId="0" xfId="45" applyFont="1" applyFill="1" applyBorder="1" applyAlignment="1" applyProtection="1">
      <alignment horizontal="center" vertical="center"/>
    </xf>
    <xf numFmtId="166" fontId="47" fillId="40" borderId="0" xfId="45" applyNumberFormat="1" applyFont="1" applyFill="1" applyBorder="1" applyAlignment="1" applyProtection="1">
      <alignment horizontal="center" vertical="center"/>
    </xf>
    <xf numFmtId="2" fontId="44" fillId="40" borderId="0" xfId="45" applyNumberFormat="1" applyFont="1" applyFill="1" applyBorder="1" applyAlignment="1" applyProtection="1">
      <alignment horizontal="center" vertical="center"/>
      <protection locked="0"/>
    </xf>
    <xf numFmtId="165" fontId="47" fillId="40" borderId="0" xfId="45" applyNumberFormat="1" applyFont="1" applyFill="1" applyBorder="1" applyAlignment="1" applyProtection="1">
      <alignment horizontal="center" vertical="center"/>
    </xf>
    <xf numFmtId="164" fontId="47" fillId="40" borderId="0" xfId="45" applyNumberFormat="1" applyFont="1" applyFill="1" applyBorder="1" applyAlignment="1" applyProtection="1">
      <alignment horizontal="center" vertical="center"/>
    </xf>
    <xf numFmtId="2" fontId="44" fillId="40" borderId="0" xfId="45" applyNumberFormat="1" applyFont="1" applyFill="1" applyBorder="1" applyAlignment="1" applyProtection="1">
      <alignment horizontal="center" vertical="center"/>
    </xf>
    <xf numFmtId="0" fontId="26" fillId="32" borderId="0" xfId="45" applyFont="1" applyFill="1" applyBorder="1" applyAlignment="1">
      <alignment vertical="center"/>
    </xf>
    <xf numFmtId="0" fontId="26" fillId="47" borderId="0" xfId="45" applyFont="1" applyFill="1" applyBorder="1" applyAlignment="1">
      <alignment vertical="center"/>
    </xf>
    <xf numFmtId="2" fontId="41" fillId="40" borderId="164" xfId="45" applyNumberFormat="1" applyFont="1" applyFill="1" applyBorder="1" applyProtection="1"/>
    <xf numFmtId="0" fontId="26" fillId="39" borderId="165" xfId="45" applyFont="1" applyFill="1" applyBorder="1" applyAlignment="1">
      <alignment vertical="center"/>
    </xf>
    <xf numFmtId="0" fontId="50" fillId="39" borderId="113" xfId="45" applyFont="1" applyFill="1" applyBorder="1" applyAlignment="1">
      <alignment vertical="center"/>
    </xf>
    <xf numFmtId="0" fontId="61" fillId="32" borderId="0" xfId="45" applyFont="1" applyFill="1" applyBorder="1" applyAlignment="1" applyProtection="1">
      <alignment vertical="center"/>
    </xf>
    <xf numFmtId="0" fontId="44" fillId="60" borderId="0" xfId="45" applyFont="1" applyFill="1" applyBorder="1" applyProtection="1"/>
    <xf numFmtId="165" fontId="44" fillId="60" borderId="0" xfId="45" applyNumberFormat="1" applyFont="1" applyFill="1" applyBorder="1" applyProtection="1"/>
    <xf numFmtId="0" fontId="23" fillId="63" borderId="166" xfId="45" applyFont="1" applyFill="1" applyBorder="1" applyProtection="1"/>
    <xf numFmtId="0" fontId="46" fillId="62" borderId="128" xfId="45" applyFont="1" applyFill="1" applyBorder="1" applyAlignment="1">
      <alignment horizontal="center" vertical="center"/>
    </xf>
    <xf numFmtId="0" fontId="44" fillId="63" borderId="167" xfId="45" applyFont="1" applyFill="1" applyBorder="1" applyAlignment="1" applyProtection="1">
      <alignment horizontal="center" vertical="center"/>
    </xf>
    <xf numFmtId="0" fontId="46" fillId="62" borderId="168" xfId="45" applyFont="1" applyFill="1" applyBorder="1" applyAlignment="1">
      <alignment horizontal="center" vertical="center"/>
    </xf>
    <xf numFmtId="0" fontId="50" fillId="47" borderId="0" xfId="45" applyFont="1" applyFill="1" applyAlignment="1">
      <alignment vertical="center"/>
    </xf>
    <xf numFmtId="0" fontId="40" fillId="47" borderId="0" xfId="45" applyFont="1" applyFill="1" applyAlignment="1">
      <alignment vertical="center"/>
    </xf>
    <xf numFmtId="0" fontId="50" fillId="33" borderId="0" xfId="45" applyFont="1" applyFill="1" applyAlignment="1">
      <alignment vertical="center"/>
    </xf>
    <xf numFmtId="0" fontId="26" fillId="32" borderId="0" xfId="45" applyFont="1" applyFill="1"/>
    <xf numFmtId="0" fontId="26" fillId="33" borderId="0" xfId="45" applyFont="1" applyFill="1"/>
    <xf numFmtId="0" fontId="26" fillId="34" borderId="0" xfId="45" applyFont="1" applyFill="1"/>
    <xf numFmtId="0" fontId="26" fillId="35" borderId="0" xfId="45" applyFont="1" applyFill="1"/>
    <xf numFmtId="0" fontId="24" fillId="32" borderId="0" xfId="45" applyFont="1" applyFill="1"/>
    <xf numFmtId="0" fontId="24" fillId="33" borderId="0" xfId="45" applyFont="1" applyFill="1"/>
    <xf numFmtId="0" fontId="42" fillId="39" borderId="22" xfId="45" applyFont="1" applyFill="1" applyBorder="1" applyAlignment="1" applyProtection="1">
      <alignment vertical="center"/>
      <protection locked="0"/>
    </xf>
    <xf numFmtId="0" fontId="42" fillId="39" borderId="0" xfId="45" applyFont="1" applyFill="1" applyBorder="1" applyAlignment="1" applyProtection="1">
      <alignment vertical="center"/>
      <protection locked="0"/>
    </xf>
    <xf numFmtId="0" fontId="49" fillId="39" borderId="0" xfId="45" applyFont="1" applyFill="1" applyBorder="1" applyAlignment="1" applyProtection="1">
      <alignment vertical="center"/>
      <protection locked="0"/>
    </xf>
    <xf numFmtId="0" fontId="42" fillId="39" borderId="0" xfId="45" applyFont="1" applyFill="1" applyBorder="1"/>
    <xf numFmtId="0" fontId="62" fillId="39" borderId="0" xfId="45" applyFont="1" applyFill="1" applyBorder="1" applyAlignment="1">
      <alignment horizontal="center"/>
    </xf>
    <xf numFmtId="0" fontId="57" fillId="39" borderId="23" xfId="45" applyFont="1" applyFill="1" applyBorder="1" applyAlignment="1">
      <alignment horizontal="center"/>
    </xf>
    <xf numFmtId="0" fontId="24" fillId="39" borderId="24" xfId="45" applyFont="1" applyFill="1" applyBorder="1"/>
    <xf numFmtId="0" fontId="24" fillId="39" borderId="0" xfId="45" applyFont="1" applyFill="1" applyBorder="1"/>
    <xf numFmtId="0" fontId="63" fillId="39" borderId="0" xfId="45" applyFont="1" applyFill="1" applyBorder="1"/>
    <xf numFmtId="0" fontId="24" fillId="39" borderId="23" xfId="45" applyFont="1" applyFill="1" applyBorder="1" applyAlignment="1">
      <alignment horizontal="center"/>
    </xf>
    <xf numFmtId="0" fontId="46" fillId="39" borderId="24" xfId="45" applyFont="1" applyFill="1" applyBorder="1" applyAlignment="1">
      <alignment horizontal="center" vertical="center"/>
    </xf>
    <xf numFmtId="2" fontId="65" fillId="40" borderId="0" xfId="45" applyNumberFormat="1" applyFont="1" applyFill="1" applyBorder="1" applyProtection="1"/>
    <xf numFmtId="0" fontId="42" fillId="40" borderId="23" xfId="45" applyFont="1" applyFill="1" applyBorder="1" applyAlignment="1" applyProtection="1">
      <alignment horizontal="center"/>
    </xf>
    <xf numFmtId="0" fontId="65" fillId="40" borderId="0" xfId="45" applyFont="1" applyFill="1" applyBorder="1" applyProtection="1"/>
    <xf numFmtId="0" fontId="24" fillId="43" borderId="29" xfId="45" applyFont="1" applyFill="1" applyBorder="1" applyAlignment="1" applyProtection="1">
      <alignment horizontal="center"/>
    </xf>
    <xf numFmtId="0" fontId="24" fillId="43" borderId="30" xfId="45" applyFont="1" applyFill="1" applyBorder="1" applyAlignment="1" applyProtection="1"/>
    <xf numFmtId="0" fontId="24" fillId="43" borderId="0" xfId="45" applyFont="1" applyFill="1" applyBorder="1" applyAlignment="1" applyProtection="1"/>
    <xf numFmtId="0" fontId="24" fillId="44" borderId="31" xfId="45" applyFont="1" applyFill="1" applyBorder="1" applyAlignment="1" applyProtection="1"/>
    <xf numFmtId="0" fontId="24" fillId="43" borderId="32" xfId="45" applyFont="1" applyFill="1" applyBorder="1" applyAlignment="1" applyProtection="1"/>
    <xf numFmtId="0" fontId="24" fillId="44" borderId="33" xfId="45" applyFont="1" applyFill="1" applyBorder="1" applyAlignment="1" applyProtection="1"/>
    <xf numFmtId="0" fontId="24" fillId="43" borderId="34" xfId="45" applyFont="1" applyFill="1" applyBorder="1" applyAlignment="1" applyProtection="1">
      <alignment horizontal="center"/>
    </xf>
    <xf numFmtId="0" fontId="24" fillId="43" borderId="35" xfId="45" applyFont="1" applyFill="1" applyBorder="1" applyAlignment="1" applyProtection="1"/>
    <xf numFmtId="0" fontId="24" fillId="43" borderId="36" xfId="45" applyFont="1" applyFill="1" applyBorder="1" applyAlignment="1" applyProtection="1"/>
    <xf numFmtId="0" fontId="24" fillId="44" borderId="37" xfId="45" applyFont="1" applyFill="1" applyBorder="1" applyAlignment="1" applyProtection="1"/>
    <xf numFmtId="0" fontId="24" fillId="43" borderId="38" xfId="45" applyFont="1" applyFill="1" applyBorder="1" applyAlignment="1" applyProtection="1"/>
    <xf numFmtId="0" fontId="57" fillId="32" borderId="0" xfId="45" applyFont="1" applyFill="1" applyBorder="1"/>
    <xf numFmtId="0" fontId="24" fillId="45" borderId="0" xfId="45" applyFont="1" applyFill="1" applyBorder="1" applyAlignment="1" applyProtection="1">
      <alignment vertical="center"/>
    </xf>
    <xf numFmtId="0" fontId="24" fillId="32" borderId="0" xfId="45" applyFont="1" applyFill="1" applyBorder="1"/>
    <xf numFmtId="0" fontId="24" fillId="32" borderId="0" xfId="45" applyFont="1" applyFill="1" applyBorder="1" applyAlignment="1">
      <alignment horizontal="center" vertical="center"/>
    </xf>
    <xf numFmtId="0" fontId="57" fillId="32" borderId="0" xfId="45" applyFont="1" applyFill="1"/>
    <xf numFmtId="11" fontId="24" fillId="32" borderId="0" xfId="45" applyNumberFormat="1" applyFont="1" applyFill="1" applyBorder="1" applyAlignment="1">
      <alignment horizontal="center" vertical="center"/>
    </xf>
    <xf numFmtId="0" fontId="26" fillId="0" borderId="0" xfId="45" applyFont="1"/>
    <xf numFmtId="0" fontId="26" fillId="46" borderId="0" xfId="45" applyFont="1" applyFill="1"/>
    <xf numFmtId="0" fontId="70" fillId="0" borderId="0" xfId="48" applyFont="1"/>
    <xf numFmtId="0" fontId="35" fillId="0" borderId="0" xfId="48"/>
    <xf numFmtId="0" fontId="35" fillId="0" borderId="0" xfId="50"/>
    <xf numFmtId="0" fontId="5" fillId="0" borderId="0" xfId="43"/>
    <xf numFmtId="0" fontId="35" fillId="70" borderId="0" xfId="48" applyFill="1"/>
    <xf numFmtId="0" fontId="1" fillId="54" borderId="0" xfId="52" applyFill="1"/>
    <xf numFmtId="0" fontId="66" fillId="54" borderId="0" xfId="52" applyFont="1" applyFill="1"/>
    <xf numFmtId="0" fontId="1" fillId="54" borderId="0" xfId="52" applyFont="1" applyFill="1"/>
    <xf numFmtId="0" fontId="1" fillId="54" borderId="0" xfId="52" applyFont="1" applyFill="1" applyAlignment="1"/>
    <xf numFmtId="0" fontId="67" fillId="54" borderId="0" xfId="52" applyFont="1" applyFill="1"/>
    <xf numFmtId="0" fontId="68" fillId="54" borderId="0" xfId="52" applyFont="1" applyFill="1"/>
    <xf numFmtId="0" fontId="69" fillId="50" borderId="131" xfId="52" applyFont="1" applyFill="1" applyBorder="1" applyAlignment="1">
      <alignment horizontal="center" vertical="center" wrapText="1"/>
    </xf>
    <xf numFmtId="0" fontId="1" fillId="66" borderId="158" xfId="52" applyFont="1" applyFill="1" applyBorder="1" applyAlignment="1">
      <alignment horizontal="center"/>
    </xf>
    <xf numFmtId="0" fontId="1" fillId="66" borderId="158" xfId="52" applyFill="1" applyBorder="1" applyAlignment="1">
      <alignment horizontal="center"/>
    </xf>
    <xf numFmtId="0" fontId="1" fillId="66" borderId="101" xfId="52" applyFill="1" applyBorder="1" applyAlignment="1">
      <alignment horizontal="center"/>
    </xf>
    <xf numFmtId="0" fontId="1" fillId="67" borderId="131" xfId="52" applyFill="1" applyBorder="1"/>
    <xf numFmtId="0" fontId="1" fillId="67" borderId="169" xfId="52" applyFill="1" applyBorder="1"/>
    <xf numFmtId="0" fontId="1" fillId="67" borderId="170" xfId="52" applyFill="1" applyBorder="1"/>
    <xf numFmtId="0" fontId="1" fillId="50" borderId="131" xfId="52" applyFont="1" applyFill="1" applyBorder="1" applyAlignment="1">
      <alignment wrapText="1"/>
    </xf>
    <xf numFmtId="0" fontId="1" fillId="50" borderId="158" xfId="52" applyFill="1" applyBorder="1" applyAlignment="1">
      <alignment horizontal="center" textRotation="90"/>
    </xf>
    <xf numFmtId="0" fontId="67" fillId="50" borderId="131" xfId="52" applyFont="1" applyFill="1" applyBorder="1" applyAlignment="1">
      <alignment horizontal="center" textRotation="90"/>
    </xf>
    <xf numFmtId="0" fontId="1" fillId="50" borderId="171" xfId="52" applyFill="1" applyBorder="1" applyAlignment="1">
      <alignment horizontal="center" vertical="center" wrapText="1"/>
    </xf>
    <xf numFmtId="0" fontId="1" fillId="50" borderId="137" xfId="52" applyFill="1" applyBorder="1"/>
    <xf numFmtId="0" fontId="67" fillId="50" borderId="172" xfId="52" applyFont="1" applyFill="1" applyBorder="1"/>
    <xf numFmtId="0" fontId="1" fillId="68" borderId="173" xfId="52" applyFill="1" applyBorder="1" applyAlignment="1">
      <alignment horizontal="center" vertical="center"/>
    </xf>
    <xf numFmtId="0" fontId="1" fillId="69" borderId="174" xfId="52" applyFill="1" applyBorder="1" applyAlignment="1">
      <alignment horizontal="center" vertical="center"/>
    </xf>
    <xf numFmtId="0" fontId="1" fillId="69" borderId="175" xfId="52" applyFill="1" applyBorder="1" applyAlignment="1">
      <alignment horizontal="center" vertical="center"/>
    </xf>
    <xf numFmtId="0" fontId="1" fillId="50" borderId="101" xfId="52" applyFill="1" applyBorder="1" applyAlignment="1">
      <alignment horizontal="center" vertical="center"/>
    </xf>
    <xf numFmtId="2" fontId="1" fillId="50" borderId="171" xfId="52" applyNumberFormat="1" applyFill="1" applyBorder="1" applyAlignment="1">
      <alignment horizontal="center" vertical="center"/>
    </xf>
    <xf numFmtId="2" fontId="1" fillId="54" borderId="0" xfId="52" applyNumberFormat="1" applyFill="1"/>
    <xf numFmtId="0" fontId="1" fillId="69" borderId="176" xfId="52" applyFill="1" applyBorder="1" applyAlignment="1">
      <alignment horizontal="center" vertical="center"/>
    </xf>
    <xf numFmtId="0" fontId="1" fillId="68" borderId="25" xfId="52" applyFill="1" applyBorder="1" applyAlignment="1">
      <alignment horizontal="center" vertical="center"/>
    </xf>
    <xf numFmtId="0" fontId="1" fillId="69" borderId="25" xfId="52" applyFill="1" applyBorder="1" applyAlignment="1">
      <alignment horizontal="center" vertical="center"/>
    </xf>
    <xf numFmtId="0" fontId="1" fillId="69" borderId="177" xfId="52" applyFill="1" applyBorder="1" applyAlignment="1">
      <alignment horizontal="center" vertical="center"/>
    </xf>
    <xf numFmtId="0" fontId="1" fillId="50" borderId="100" xfId="52" applyFill="1" applyBorder="1" applyAlignment="1">
      <alignment horizontal="center" vertical="center"/>
    </xf>
    <xf numFmtId="2" fontId="1" fillId="50" borderId="137" xfId="52" applyNumberFormat="1" applyFill="1" applyBorder="1" applyAlignment="1">
      <alignment horizontal="center" vertical="center"/>
    </xf>
    <xf numFmtId="0" fontId="1" fillId="50" borderId="155" xfId="52" applyFill="1" applyBorder="1"/>
    <xf numFmtId="0" fontId="67" fillId="50" borderId="178" xfId="52" applyFont="1" applyFill="1" applyBorder="1"/>
    <xf numFmtId="0" fontId="1" fillId="69" borderId="179" xfId="52" applyFill="1" applyBorder="1" applyAlignment="1">
      <alignment horizontal="center" vertical="center"/>
    </xf>
    <xf numFmtId="0" fontId="1" fillId="69" borderId="164" xfId="52" applyFill="1" applyBorder="1" applyAlignment="1">
      <alignment horizontal="center" vertical="center"/>
    </xf>
    <xf numFmtId="0" fontId="1" fillId="68" borderId="180" xfId="52" applyFill="1" applyBorder="1" applyAlignment="1">
      <alignment horizontal="center" vertical="center"/>
    </xf>
    <xf numFmtId="0" fontId="1" fillId="50" borderId="104" xfId="52" applyFill="1" applyBorder="1" applyAlignment="1">
      <alignment horizontal="center" vertical="center"/>
    </xf>
    <xf numFmtId="2" fontId="1" fillId="50" borderId="155" xfId="52" applyNumberFormat="1" applyFill="1" applyBorder="1" applyAlignment="1">
      <alignment horizontal="center" vertical="center"/>
    </xf>
    <xf numFmtId="0" fontId="67" fillId="50" borderId="181" xfId="52" applyFont="1" applyFill="1" applyBorder="1" applyAlignment="1">
      <alignment horizontal="center" textRotation="90"/>
    </xf>
    <xf numFmtId="0" fontId="67" fillId="50" borderId="158" xfId="52" applyFont="1" applyFill="1" applyBorder="1" applyAlignment="1">
      <alignment horizontal="center" textRotation="90"/>
    </xf>
    <xf numFmtId="0" fontId="1" fillId="66" borderId="182" xfId="52" applyFill="1" applyBorder="1" applyAlignment="1">
      <alignment horizontal="center" textRotation="90"/>
    </xf>
    <xf numFmtId="0" fontId="1" fillId="66" borderId="134" xfId="52" applyFill="1" applyBorder="1" applyAlignment="1">
      <alignment horizontal="center" textRotation="90"/>
    </xf>
    <xf numFmtId="0" fontId="1" fillId="66" borderId="133" xfId="52" applyFill="1" applyBorder="1" applyAlignment="1">
      <alignment horizontal="center" textRotation="90"/>
    </xf>
    <xf numFmtId="0" fontId="1" fillId="66" borderId="153" xfId="52" applyFill="1" applyBorder="1" applyAlignment="1">
      <alignment horizontal="center" vertical="center"/>
    </xf>
    <xf numFmtId="0" fontId="1" fillId="66" borderId="150" xfId="52" applyFill="1" applyBorder="1" applyAlignment="1">
      <alignment horizontal="center" vertical="center"/>
    </xf>
    <xf numFmtId="0" fontId="1" fillId="66" borderId="183" xfId="52" applyFill="1" applyBorder="1" applyAlignment="1">
      <alignment horizontal="center" vertical="center"/>
    </xf>
    <xf numFmtId="0" fontId="1" fillId="66" borderId="176" xfId="52" applyFill="1" applyBorder="1" applyAlignment="1">
      <alignment horizontal="center" vertical="center"/>
    </xf>
    <xf numFmtId="0" fontId="1" fillId="66" borderId="25" xfId="52" applyFill="1" applyBorder="1" applyAlignment="1">
      <alignment horizontal="center" vertical="center"/>
    </xf>
    <xf numFmtId="0" fontId="1" fillId="66" borderId="184" xfId="52" applyFill="1" applyBorder="1" applyAlignment="1">
      <alignment horizontal="center" vertical="center"/>
    </xf>
    <xf numFmtId="0" fontId="1" fillId="0" borderId="0" xfId="52"/>
    <xf numFmtId="0" fontId="1" fillId="66" borderId="0" xfId="52" applyFill="1" applyBorder="1" applyAlignment="1">
      <alignment horizontal="center" vertical="center"/>
    </xf>
    <xf numFmtId="0" fontId="1" fillId="66" borderId="179" xfId="52" applyFill="1" applyBorder="1" applyAlignment="1">
      <alignment horizontal="center" vertical="center"/>
    </xf>
    <xf numFmtId="0" fontId="1" fillId="66" borderId="164" xfId="52" applyFill="1" applyBorder="1" applyAlignment="1">
      <alignment horizontal="center" vertical="center"/>
    </xf>
    <xf numFmtId="0" fontId="1" fillId="66" borderId="185" xfId="52" applyFill="1" applyBorder="1" applyAlignment="1">
      <alignment horizontal="center" vertical="center"/>
    </xf>
    <xf numFmtId="0" fontId="67" fillId="50" borderId="131" xfId="52" applyFont="1" applyFill="1" applyBorder="1"/>
    <xf numFmtId="1" fontId="1" fillId="50" borderId="186" xfId="52" applyNumberFormat="1" applyFill="1" applyBorder="1" applyAlignment="1">
      <alignment horizontal="center" vertical="center"/>
    </xf>
    <xf numFmtId="1" fontId="1" fillId="50" borderId="169" xfId="52" applyNumberFormat="1" applyFill="1" applyBorder="1" applyAlignment="1">
      <alignment horizontal="center" vertical="center"/>
    </xf>
    <xf numFmtId="1" fontId="1" fillId="50" borderId="170" xfId="52" applyNumberFormat="1" applyFill="1" applyBorder="1" applyAlignment="1">
      <alignment horizontal="center" vertical="center"/>
    </xf>
    <xf numFmtId="0" fontId="1" fillId="50" borderId="100" xfId="52" applyFill="1" applyBorder="1"/>
    <xf numFmtId="0" fontId="67" fillId="50" borderId="155" xfId="52" applyFont="1" applyFill="1" applyBorder="1"/>
    <xf numFmtId="0" fontId="67" fillId="50" borderId="186" xfId="52" applyFont="1" applyFill="1" applyBorder="1" applyAlignment="1">
      <alignment horizontal="center" vertical="center"/>
    </xf>
    <xf numFmtId="0" fontId="67" fillId="50" borderId="169" xfId="52" applyFont="1" applyFill="1" applyBorder="1" applyAlignment="1">
      <alignment horizontal="center" vertical="center"/>
    </xf>
    <xf numFmtId="0" fontId="67" fillId="50" borderId="170" xfId="52" applyFont="1" applyFill="1" applyBorder="1" applyAlignment="1">
      <alignment horizontal="center" vertical="center"/>
    </xf>
    <xf numFmtId="0" fontId="1" fillId="50" borderId="104" xfId="52" applyFill="1" applyBorder="1"/>
    <xf numFmtId="0" fontId="67" fillId="54" borderId="181" xfId="52" applyFont="1" applyFill="1" applyBorder="1"/>
    <xf numFmtId="0" fontId="1" fillId="54" borderId="158" xfId="52" applyFill="1" applyBorder="1"/>
    <xf numFmtId="0" fontId="1" fillId="54" borderId="101" xfId="52" applyFill="1" applyBorder="1"/>
    <xf numFmtId="0" fontId="1" fillId="54" borderId="172" xfId="52" applyFont="1" applyFill="1" applyBorder="1"/>
    <xf numFmtId="0" fontId="1" fillId="54" borderId="0" xfId="52" applyFill="1" applyBorder="1"/>
    <xf numFmtId="0" fontId="1" fillId="54" borderId="100" xfId="52" applyFill="1" applyBorder="1"/>
    <xf numFmtId="0" fontId="1" fillId="54" borderId="178" xfId="52" applyFont="1" applyFill="1" applyBorder="1"/>
    <xf numFmtId="0" fontId="1" fillId="54" borderId="97" xfId="52" applyFill="1" applyBorder="1"/>
    <xf numFmtId="0" fontId="1" fillId="54" borderId="104" xfId="52" applyFill="1" applyBorder="1"/>
    <xf numFmtId="0" fontId="71" fillId="0" borderId="0" xfId="0" applyFont="1" applyBorder="1" applyAlignment="1" applyProtection="1"/>
    <xf numFmtId="0" fontId="26" fillId="0" borderId="0" xfId="46"/>
    <xf numFmtId="0" fontId="43" fillId="42" borderId="26" xfId="45" applyFont="1" applyFill="1" applyBorder="1" applyAlignment="1" applyProtection="1">
      <alignment horizontal="center" vertical="center"/>
    </xf>
    <xf numFmtId="0" fontId="43" fillId="42" borderId="27" xfId="45" applyFont="1" applyFill="1" applyBorder="1" applyAlignment="1" applyProtection="1">
      <alignment horizontal="center" vertical="center"/>
    </xf>
    <xf numFmtId="0" fontId="43" fillId="42" borderId="28" xfId="45" applyFont="1" applyFill="1" applyBorder="1" applyAlignment="1" applyProtection="1">
      <alignment horizontal="center" vertical="center"/>
    </xf>
    <xf numFmtId="0" fontId="37" fillId="32" borderId="0" xfId="45" applyFont="1" applyFill="1" applyBorder="1" applyAlignment="1">
      <alignment horizontal="center" vertical="center" wrapText="1"/>
    </xf>
    <xf numFmtId="0" fontId="37" fillId="32" borderId="0" xfId="45" applyFont="1" applyFill="1" applyBorder="1" applyAlignment="1">
      <alignment horizontal="center" vertical="center"/>
    </xf>
    <xf numFmtId="0" fontId="43" fillId="36" borderId="10" xfId="45" applyFont="1" applyFill="1" applyBorder="1" applyAlignment="1" applyProtection="1">
      <alignment horizontal="center" vertical="center"/>
      <protection locked="0"/>
    </xf>
    <xf numFmtId="0" fontId="43" fillId="36" borderId="11" xfId="45" applyFont="1" applyFill="1" applyBorder="1" applyAlignment="1" applyProtection="1">
      <alignment horizontal="center" vertical="center"/>
      <protection locked="0"/>
    </xf>
    <xf numFmtId="0" fontId="43" fillId="36" borderId="12" xfId="45" applyFont="1" applyFill="1" applyBorder="1" applyAlignment="1" applyProtection="1">
      <alignment horizontal="center" vertical="center"/>
      <protection locked="0"/>
    </xf>
    <xf numFmtId="0" fontId="43" fillId="37" borderId="13" xfId="45" applyFont="1" applyFill="1" applyBorder="1" applyAlignment="1">
      <alignment horizontal="center" vertical="center"/>
    </xf>
    <xf numFmtId="0" fontId="43" fillId="37" borderId="14" xfId="45" applyFont="1" applyFill="1" applyBorder="1" applyAlignment="1">
      <alignment horizontal="center" vertical="center"/>
    </xf>
    <xf numFmtId="0" fontId="43" fillId="37" borderId="15" xfId="45" applyFont="1" applyFill="1" applyBorder="1" applyAlignment="1">
      <alignment horizontal="center" vertical="center"/>
    </xf>
    <xf numFmtId="0" fontId="43" fillId="36" borderId="16" xfId="45" applyFont="1" applyFill="1" applyBorder="1" applyAlignment="1" applyProtection="1">
      <alignment horizontal="center" vertical="center"/>
      <protection locked="0"/>
    </xf>
    <xf numFmtId="0" fontId="43" fillId="36" borderId="17" xfId="45" applyFont="1" applyFill="1" applyBorder="1" applyAlignment="1" applyProtection="1">
      <alignment horizontal="center" vertical="center"/>
      <protection locked="0"/>
    </xf>
    <xf numFmtId="0" fontId="43" fillId="36" borderId="18" xfId="45" applyFont="1" applyFill="1" applyBorder="1" applyAlignment="1" applyProtection="1">
      <alignment horizontal="center" vertical="center"/>
      <protection locked="0"/>
    </xf>
    <xf numFmtId="0" fontId="46" fillId="38" borderId="19" xfId="45" applyFont="1" applyFill="1" applyBorder="1" applyAlignment="1">
      <alignment horizontal="center"/>
    </xf>
    <xf numFmtId="0" fontId="46" fillId="38" borderId="20" xfId="45" applyFont="1" applyFill="1" applyBorder="1" applyAlignment="1">
      <alignment horizontal="center"/>
    </xf>
    <xf numFmtId="0" fontId="46" fillId="38" borderId="21" xfId="45" applyFont="1" applyFill="1" applyBorder="1" applyAlignment="1">
      <alignment horizontal="center"/>
    </xf>
    <xf numFmtId="0" fontId="48" fillId="37" borderId="13" xfId="45" applyFont="1" applyFill="1" applyBorder="1" applyAlignment="1" applyProtection="1">
      <alignment horizontal="center" vertical="center"/>
    </xf>
    <xf numFmtId="0" fontId="48" fillId="37" borderId="14" xfId="45" applyFont="1" applyFill="1" applyBorder="1" applyAlignment="1" applyProtection="1">
      <alignment horizontal="center" vertical="center"/>
    </xf>
    <xf numFmtId="0" fontId="48" fillId="37" borderId="15" xfId="45" applyFont="1" applyFill="1" applyBorder="1" applyAlignment="1" applyProtection="1">
      <alignment horizontal="center" vertical="center"/>
    </xf>
    <xf numFmtId="0" fontId="43" fillId="58" borderId="116" xfId="45" applyFont="1" applyFill="1" applyBorder="1" applyAlignment="1" applyProtection="1">
      <alignment horizontal="center" vertical="center"/>
    </xf>
    <xf numFmtId="0" fontId="43" fillId="58" borderId="117" xfId="45" applyFont="1" applyFill="1" applyBorder="1" applyAlignment="1" applyProtection="1">
      <alignment horizontal="center" vertical="center"/>
    </xf>
    <xf numFmtId="0" fontId="43" fillId="58" borderId="118" xfId="45" applyFont="1" applyFill="1" applyBorder="1" applyAlignment="1" applyProtection="1">
      <alignment horizontal="center" vertical="center"/>
    </xf>
    <xf numFmtId="0" fontId="43" fillId="61" borderId="123" xfId="45" applyFont="1" applyFill="1" applyBorder="1" applyAlignment="1" applyProtection="1">
      <alignment horizontal="center" vertical="center"/>
    </xf>
    <xf numFmtId="0" fontId="43" fillId="61" borderId="124" xfId="45" applyFont="1" applyFill="1" applyBorder="1" applyAlignment="1" applyProtection="1">
      <alignment horizontal="center" vertical="center"/>
    </xf>
    <xf numFmtId="0" fontId="43" fillId="61" borderId="125" xfId="45" applyFont="1" applyFill="1" applyBorder="1" applyAlignment="1" applyProtection="1">
      <alignment horizontal="center" vertical="center"/>
    </xf>
    <xf numFmtId="0" fontId="43" fillId="42" borderId="42" xfId="45" applyFont="1" applyFill="1" applyBorder="1" applyAlignment="1" applyProtection="1">
      <alignment horizontal="center" vertical="center"/>
    </xf>
    <xf numFmtId="0" fontId="43" fillId="42" borderId="43" xfId="45" applyFont="1" applyFill="1" applyBorder="1" applyAlignment="1" applyProtection="1">
      <alignment horizontal="center" vertical="center"/>
    </xf>
    <xf numFmtId="0" fontId="43" fillId="42" borderId="44" xfId="45" applyFont="1" applyFill="1" applyBorder="1" applyAlignment="1" applyProtection="1">
      <alignment horizontal="center" vertical="center"/>
    </xf>
    <xf numFmtId="0" fontId="43" fillId="49" borderId="45" xfId="45" applyFont="1" applyFill="1" applyBorder="1" applyAlignment="1" applyProtection="1">
      <alignment horizontal="center" vertical="center"/>
    </xf>
    <xf numFmtId="0" fontId="43" fillId="49" borderId="46" xfId="45" applyFont="1" applyFill="1" applyBorder="1" applyAlignment="1" applyProtection="1">
      <alignment horizontal="center" vertical="center"/>
    </xf>
    <xf numFmtId="0" fontId="43" fillId="49" borderId="47" xfId="45" applyFont="1" applyFill="1" applyBorder="1" applyAlignment="1" applyProtection="1">
      <alignment horizontal="center" vertical="center"/>
    </xf>
    <xf numFmtId="0" fontId="43" fillId="49" borderId="42" xfId="45" applyFont="1" applyFill="1" applyBorder="1" applyAlignment="1" applyProtection="1">
      <alignment horizontal="center" vertical="center"/>
    </xf>
    <xf numFmtId="0" fontId="43" fillId="49" borderId="43" xfId="45" applyFont="1" applyFill="1" applyBorder="1" applyAlignment="1" applyProtection="1">
      <alignment horizontal="center" vertical="center"/>
    </xf>
    <xf numFmtId="0" fontId="43" fillId="49" borderId="44" xfId="45" applyFont="1" applyFill="1" applyBorder="1" applyAlignment="1" applyProtection="1">
      <alignment horizontal="center" vertical="center"/>
    </xf>
    <xf numFmtId="0" fontId="42" fillId="51" borderId="64" xfId="45" applyFont="1" applyFill="1" applyBorder="1" applyAlignment="1" applyProtection="1">
      <alignment horizontal="left" vertical="center"/>
    </xf>
    <xf numFmtId="0" fontId="42" fillId="51" borderId="0" xfId="45" applyFont="1" applyFill="1" applyBorder="1" applyAlignment="1" applyProtection="1">
      <alignment horizontal="left" vertical="center"/>
    </xf>
    <xf numFmtId="0" fontId="42" fillId="51" borderId="56" xfId="45" applyFont="1" applyFill="1" applyBorder="1" applyAlignment="1" applyProtection="1">
      <alignment horizontal="left" vertical="center"/>
    </xf>
    <xf numFmtId="0" fontId="43" fillId="55" borderId="72" xfId="45" applyFont="1" applyFill="1" applyBorder="1" applyAlignment="1" applyProtection="1">
      <alignment horizontal="center" vertical="center"/>
    </xf>
    <xf numFmtId="0" fontId="43" fillId="55" borderId="73" xfId="45" applyFont="1" applyFill="1" applyBorder="1" applyAlignment="1" applyProtection="1">
      <alignment horizontal="center" vertical="center"/>
    </xf>
    <xf numFmtId="0" fontId="52" fillId="49" borderId="42" xfId="45" applyFont="1" applyFill="1" applyBorder="1" applyAlignment="1" applyProtection="1">
      <alignment horizontal="center" vertical="center"/>
    </xf>
    <xf numFmtId="0" fontId="52" fillId="49" borderId="43" xfId="45" applyFont="1" applyFill="1" applyBorder="1" applyAlignment="1" applyProtection="1">
      <alignment horizontal="center" vertical="center"/>
    </xf>
    <xf numFmtId="0" fontId="52" fillId="49" borderId="44" xfId="45" applyFont="1" applyFill="1" applyBorder="1" applyAlignment="1" applyProtection="1">
      <alignment horizontal="center" vertical="center"/>
    </xf>
    <xf numFmtId="0" fontId="42" fillId="64" borderId="136" xfId="45" applyFont="1" applyFill="1" applyBorder="1" applyAlignment="1" applyProtection="1">
      <alignment horizontal="center" vertical="center"/>
    </xf>
    <xf numFmtId="0" fontId="42" fillId="64" borderId="140" xfId="45" applyFont="1" applyFill="1" applyBorder="1" applyAlignment="1" applyProtection="1">
      <alignment horizontal="center" vertical="center"/>
    </xf>
    <xf numFmtId="0" fontId="42" fillId="64" borderId="140" xfId="45" applyFont="1" applyFill="1" applyBorder="1" applyAlignment="1">
      <alignment horizontal="center" vertical="center"/>
    </xf>
    <xf numFmtId="0" fontId="42" fillId="64" borderId="154" xfId="45" applyFont="1" applyFill="1" applyBorder="1" applyAlignment="1">
      <alignment horizontal="center" vertical="center"/>
    </xf>
    <xf numFmtId="0" fontId="43" fillId="36" borderId="159" xfId="45" applyFont="1" applyFill="1" applyBorder="1" applyAlignment="1" applyProtection="1">
      <alignment horizontal="center" vertical="center"/>
    </xf>
    <xf numFmtId="0" fontId="43" fillId="36" borderId="160" xfId="45" applyFont="1" applyFill="1" applyBorder="1" applyAlignment="1" applyProtection="1">
      <alignment horizontal="center" vertical="center"/>
    </xf>
    <xf numFmtId="0" fontId="43" fillId="36" borderId="161" xfId="45" applyFont="1" applyFill="1" applyBorder="1" applyAlignment="1" applyProtection="1">
      <alignment horizontal="center" vertical="center"/>
    </xf>
    <xf numFmtId="0" fontId="23" fillId="39" borderId="83" xfId="45" applyFont="1" applyFill="1" applyBorder="1" applyAlignment="1">
      <alignment horizontal="left" vertical="center"/>
    </xf>
    <xf numFmtId="0" fontId="23" fillId="39" borderId="0" xfId="45" applyFont="1" applyFill="1" applyBorder="1" applyAlignment="1">
      <alignment horizontal="left" vertical="center"/>
    </xf>
    <xf numFmtId="0" fontId="69" fillId="50" borderId="171" xfId="52" applyFont="1" applyFill="1" applyBorder="1" applyAlignment="1">
      <alignment horizontal="center" vertical="center" wrapText="1"/>
    </xf>
    <xf numFmtId="0" fontId="69" fillId="50" borderId="155" xfId="52" applyFont="1" applyFill="1" applyBorder="1" applyAlignment="1">
      <alignment horizontal="center" vertical="center" wrapText="1"/>
    </xf>
    <xf numFmtId="0" fontId="1" fillId="50" borderId="171" xfId="52" applyFill="1" applyBorder="1" applyAlignment="1">
      <alignment horizontal="right" vertical="center" wrapText="1"/>
    </xf>
    <xf numFmtId="0" fontId="1" fillId="50" borderId="178" xfId="52" applyFill="1" applyBorder="1" applyAlignment="1">
      <alignment horizontal="right" vertical="center"/>
    </xf>
    <xf numFmtId="0" fontId="1" fillId="50" borderId="171" xfId="52" applyFill="1" applyBorder="1" applyAlignment="1">
      <alignment horizontal="center" vertical="center" wrapText="1"/>
    </xf>
    <xf numFmtId="0" fontId="1" fillId="50" borderId="100" xfId="52" applyFill="1" applyBorder="1" applyAlignment="1">
      <alignment horizontal="center" vertical="center" wrapText="1"/>
    </xf>
    <xf numFmtId="0" fontId="1" fillId="50" borderId="171" xfId="52" applyFont="1" applyFill="1" applyBorder="1" applyAlignment="1">
      <alignment horizontal="center" vertical="center" textRotation="90"/>
    </xf>
    <xf numFmtId="0" fontId="1" fillId="50" borderId="137" xfId="52" applyFill="1" applyBorder="1" applyAlignment="1">
      <alignment horizontal="center" vertical="center" textRotation="90"/>
    </xf>
    <xf numFmtId="0" fontId="1" fillId="50" borderId="155" xfId="52" applyFill="1" applyBorder="1" applyAlignment="1">
      <alignment horizontal="center" vertical="center" textRotation="90"/>
    </xf>
  </cellXfs>
  <cellStyles count="5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1 2" xfId="44"/>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43"/>
    <cellStyle name="Normal 2 2" xfId="46"/>
    <cellStyle name="Normal 2_Db" xfId="48"/>
    <cellStyle name="Normal 3" xfId="45"/>
    <cellStyle name="Normal 4" xfId="49"/>
    <cellStyle name="Normal 4 2" xfId="51"/>
    <cellStyle name="Normal 4 2 2" xfId="52"/>
    <cellStyle name="Normal_Db" xfId="50"/>
    <cellStyle name="Note" xfId="15" builtinId="10" customBuiltin="1"/>
    <cellStyle name="Note 2" xfId="42"/>
    <cellStyle name="Output" xfId="10" builtinId="21" customBuiltin="1"/>
    <cellStyle name="Percent 2" xfId="47"/>
    <cellStyle name="Title" xfId="1" builtinId="15" customBuiltin="1"/>
    <cellStyle name="Total" xfId="17" builtinId="25" customBuiltin="1"/>
    <cellStyle name="Warning Text" xfId="14" builtinId="11" customBuiltin="1"/>
  </cellStyles>
  <dxfs count="20">
    <dxf>
      <fill>
        <patternFill>
          <bgColor indexed="10"/>
        </patternFill>
      </fill>
    </dxf>
    <dxf>
      <fill>
        <patternFill patternType="solid">
          <bgColor indexed="11"/>
        </patternFill>
      </fill>
    </dxf>
    <dxf>
      <fill>
        <patternFill>
          <bgColor indexed="10"/>
        </patternFill>
      </fill>
    </dxf>
    <dxf>
      <fill>
        <patternFill patternType="solid">
          <bgColor indexed="11"/>
        </patternFill>
      </fill>
    </dxf>
    <dxf>
      <fill>
        <patternFill>
          <bgColor indexed="10"/>
        </patternFill>
      </fill>
    </dxf>
    <dxf>
      <fill>
        <patternFill patternType="solid">
          <bgColor indexed="11"/>
        </patternFill>
      </fill>
    </dxf>
    <dxf>
      <fill>
        <patternFill>
          <bgColor indexed="10"/>
        </patternFill>
      </fill>
    </dxf>
    <dxf>
      <fill>
        <patternFill patternType="solid">
          <bgColor indexed="11"/>
        </patternFill>
      </fill>
    </dxf>
    <dxf>
      <fill>
        <patternFill>
          <bgColor indexed="10"/>
        </patternFill>
      </fill>
    </dxf>
    <dxf>
      <fill>
        <patternFill patternType="solid">
          <bgColor indexed="11"/>
        </patternFill>
      </fill>
    </dxf>
    <dxf>
      <fill>
        <patternFill>
          <bgColor indexed="10"/>
        </patternFill>
      </fill>
    </dxf>
    <dxf>
      <fill>
        <patternFill patternType="solid">
          <bgColor indexed="11"/>
        </patternFill>
      </fill>
    </dxf>
    <dxf>
      <fill>
        <patternFill>
          <bgColor indexed="10"/>
        </patternFill>
      </fill>
    </dxf>
    <dxf>
      <fill>
        <patternFill patternType="solid">
          <bgColor indexed="11"/>
        </patternFill>
      </fill>
    </dxf>
    <dxf>
      <fill>
        <patternFill>
          <bgColor indexed="10"/>
        </patternFill>
      </fill>
    </dxf>
    <dxf>
      <fill>
        <patternFill patternType="solid">
          <bgColor indexed="11"/>
        </patternFill>
      </fill>
    </dxf>
    <dxf>
      <fill>
        <patternFill>
          <bgColor indexed="10"/>
        </patternFill>
      </fill>
    </dxf>
    <dxf>
      <fill>
        <patternFill patternType="solid">
          <bgColor indexed="11"/>
        </patternFill>
      </fill>
    </dxf>
    <dxf>
      <fill>
        <patternFill>
          <bgColor indexed="10"/>
        </patternFill>
      </fill>
    </dxf>
    <dxf>
      <fill>
        <patternFill patternType="solid">
          <bgColor indexed="11"/>
        </patternFill>
      </fill>
    </dxf>
  </dxfs>
  <tableStyles count="0" defaultTableStyle="TableStyleMedium2" defaultPivotStyle="PivotStyleLight16"/>
  <colors>
    <mruColors>
      <color rgb="FF538D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styles" Target="styles.xml"/><Relationship Id="rId30"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Trade results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strRef>
              <c:f>Trade_off!$C$30</c:f>
              <c:strCache>
                <c:ptCount val="1"/>
                <c:pt idx="0">
                  <c:v>Option 1</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Trade_off!$C$32:$C$41</c15:sqref>
                  </c15:fullRef>
                </c:ext>
              </c:extLst>
              <c:f>Trade_off!$C$32:$C$35</c:f>
              <c:numCache>
                <c:formatCode>General</c:formatCode>
                <c:ptCount val="4"/>
                <c:pt idx="0">
                  <c:v>3</c:v>
                </c:pt>
                <c:pt idx="1">
                  <c:v>5</c:v>
                </c:pt>
                <c:pt idx="2">
                  <c:v>8</c:v>
                </c:pt>
                <c:pt idx="3">
                  <c:v>4</c:v>
                </c:pt>
              </c:numCache>
            </c:numRef>
          </c:val>
          <c:extLst>
            <c:ext xmlns:c16="http://schemas.microsoft.com/office/drawing/2014/chart" uri="{C3380CC4-5D6E-409C-BE32-E72D297353CC}">
              <c16:uniqueId val="{00000000-F564-4845-A41B-B62E13EDEBA7}"/>
            </c:ext>
          </c:extLst>
        </c:ser>
        <c:ser>
          <c:idx val="1"/>
          <c:order val="1"/>
          <c:tx>
            <c:strRef>
              <c:f>Trade_off!$D$30</c:f>
              <c:strCache>
                <c:ptCount val="1"/>
                <c:pt idx="0">
                  <c:v>Option 2</c:v>
                </c:pt>
              </c:strCache>
            </c:strRef>
          </c:tx>
          <c:spPr>
            <a:ln w="28575" cap="rnd">
              <a:solidFill>
                <a:schemeClr val="accent2"/>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Trade_off!$D$32:$D$41</c15:sqref>
                  </c15:fullRef>
                </c:ext>
              </c:extLst>
              <c:f>Trade_off!$D$32:$D$35</c:f>
              <c:numCache>
                <c:formatCode>General</c:formatCode>
                <c:ptCount val="4"/>
                <c:pt idx="0">
                  <c:v>3</c:v>
                </c:pt>
                <c:pt idx="1">
                  <c:v>7</c:v>
                </c:pt>
                <c:pt idx="2">
                  <c:v>5</c:v>
                </c:pt>
                <c:pt idx="3">
                  <c:v>3</c:v>
                </c:pt>
              </c:numCache>
            </c:numRef>
          </c:val>
          <c:extLst>
            <c:ext xmlns:c16="http://schemas.microsoft.com/office/drawing/2014/chart" uri="{C3380CC4-5D6E-409C-BE32-E72D297353CC}">
              <c16:uniqueId val="{00000001-F564-4845-A41B-B62E13EDEBA7}"/>
            </c:ext>
          </c:extLst>
        </c:ser>
        <c:ser>
          <c:idx val="2"/>
          <c:order val="2"/>
          <c:tx>
            <c:strRef>
              <c:f>Trade_off!$E$30</c:f>
              <c:strCache>
                <c:ptCount val="1"/>
                <c:pt idx="0">
                  <c:v>Option 3</c:v>
                </c:pt>
              </c:strCache>
            </c:strRef>
          </c:tx>
          <c:spPr>
            <a:ln w="28575" cap="rnd">
              <a:solidFill>
                <a:schemeClr val="accent3"/>
              </a:solidFill>
              <a:round/>
            </a:ln>
            <a:effectLst/>
          </c:spPr>
          <c:marker>
            <c:symbol val="none"/>
          </c:marker>
          <c:cat>
            <c:strLit>
              <c:ptCount val="4"/>
              <c:pt idx="0">
                <c:v>Mass</c:v>
              </c:pt>
              <c:pt idx="1">
                <c:v>Cost</c:v>
              </c:pt>
              <c:pt idx="2">
                <c:v>Power</c:v>
              </c:pt>
              <c:pt idx="3">
                <c:v>Equilibrium temperature</c:v>
              </c:pt>
              <c:pt idx="4">
                <c:v>E</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Trade_off!$E$32:$E$35</c15:sqref>
                  </c15:fullRef>
                </c:ext>
              </c:extLst>
              <c:f>Trade_off!$E$32:$E$35</c:f>
              <c:numCache>
                <c:formatCode>General</c:formatCode>
                <c:ptCount val="4"/>
                <c:pt idx="0">
                  <c:v>3</c:v>
                </c:pt>
                <c:pt idx="1">
                  <c:v>4</c:v>
                </c:pt>
                <c:pt idx="2">
                  <c:v>2</c:v>
                </c:pt>
                <c:pt idx="3">
                  <c:v>1</c:v>
                </c:pt>
              </c:numCache>
            </c:numRef>
          </c:val>
          <c:extLst>
            <c:ext xmlns:c16="http://schemas.microsoft.com/office/drawing/2014/chart" uri="{C3380CC4-5D6E-409C-BE32-E72D297353CC}">
              <c16:uniqueId val="{00000002-F564-4845-A41B-B62E13EDEBA7}"/>
            </c:ext>
          </c:extLst>
        </c:ser>
        <c:dLbls>
          <c:showLegendKey val="0"/>
          <c:showVal val="0"/>
          <c:showCatName val="0"/>
          <c:showSerName val="0"/>
          <c:showPercent val="0"/>
          <c:showBubbleSize val="0"/>
        </c:dLbls>
        <c:axId val="592043480"/>
        <c:axId val="592036264"/>
      </c:radarChart>
      <c:catAx>
        <c:axId val="592043480"/>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36264"/>
        <c:crosses val="autoZero"/>
        <c:auto val="1"/>
        <c:lblAlgn val="ctr"/>
        <c:lblOffset val="100"/>
        <c:noMultiLvlLbl val="0"/>
      </c:catAx>
      <c:valAx>
        <c:axId val="59203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434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94C7FDD0-AAD2-419C-AFC9-BBBE6FC36DB3}" type="doc">
      <dgm:prSet loTypeId="urn:microsoft.com/office/officeart/2009/layout/CirclePictureHierarchy" loCatId="hierarchy" qsTypeId="urn:microsoft.com/office/officeart/2005/8/quickstyle/simple1" qsCatId="simple" csTypeId="urn:microsoft.com/office/officeart/2005/8/colors/accent1_2" csCatId="accent1" phldr="0"/>
      <dgm:spPr/>
      <dgm:t>
        <a:bodyPr/>
        <a:lstStyle/>
        <a:p>
          <a:endParaRPr lang="en-US"/>
        </a:p>
      </dgm:t>
    </dgm:pt>
    <dgm:pt modelId="{E9667564-14AD-45D3-ACD8-C1ABCCBCC63E}">
      <dgm:prSet phldrT="[Text]" phldr="1"/>
      <dgm:spPr/>
      <dgm:t>
        <a:bodyPr/>
        <a:lstStyle/>
        <a:p>
          <a:endParaRPr lang="en-US"/>
        </a:p>
      </dgm:t>
    </dgm:pt>
    <dgm:pt modelId="{90463D30-C616-4947-BC17-7590517A7167}" type="parTrans" cxnId="{D750873F-D599-49FF-92CD-DE1E3473E623}">
      <dgm:prSet/>
      <dgm:spPr/>
      <dgm:t>
        <a:bodyPr/>
        <a:lstStyle/>
        <a:p>
          <a:endParaRPr lang="en-US"/>
        </a:p>
      </dgm:t>
    </dgm:pt>
    <dgm:pt modelId="{99978BF7-BFAD-4259-8CD5-F930CF966C34}" type="sibTrans" cxnId="{D750873F-D599-49FF-92CD-DE1E3473E623}">
      <dgm:prSet/>
      <dgm:spPr/>
      <dgm:t>
        <a:bodyPr/>
        <a:lstStyle/>
        <a:p>
          <a:endParaRPr lang="en-US"/>
        </a:p>
      </dgm:t>
    </dgm:pt>
    <dgm:pt modelId="{6A07B9C6-4160-455E-8C74-72F18E901367}">
      <dgm:prSet phldrT="[Text]" phldr="1"/>
      <dgm:spPr/>
      <dgm:t>
        <a:bodyPr/>
        <a:lstStyle/>
        <a:p>
          <a:endParaRPr lang="en-US"/>
        </a:p>
      </dgm:t>
    </dgm:pt>
    <dgm:pt modelId="{D12E1C3C-E60F-4DB2-B574-8BF0636F23C6}" type="parTrans" cxnId="{BC852D4C-3A6E-455F-9FA5-08D3D8E73CAA}">
      <dgm:prSet/>
      <dgm:spPr/>
      <dgm:t>
        <a:bodyPr/>
        <a:lstStyle/>
        <a:p>
          <a:endParaRPr lang="en-US"/>
        </a:p>
      </dgm:t>
    </dgm:pt>
    <dgm:pt modelId="{4A84A777-7845-4F2B-80FF-4CA141BEC0D8}" type="sibTrans" cxnId="{BC852D4C-3A6E-455F-9FA5-08D3D8E73CAA}">
      <dgm:prSet/>
      <dgm:spPr/>
      <dgm:t>
        <a:bodyPr/>
        <a:lstStyle/>
        <a:p>
          <a:endParaRPr lang="en-US"/>
        </a:p>
      </dgm:t>
    </dgm:pt>
    <dgm:pt modelId="{664B6403-71A3-4A6B-B058-991FE51306E9}">
      <dgm:prSet phldrT="[Text]" phldr="1"/>
      <dgm:spPr/>
      <dgm:t>
        <a:bodyPr/>
        <a:lstStyle/>
        <a:p>
          <a:endParaRPr lang="en-US"/>
        </a:p>
      </dgm:t>
    </dgm:pt>
    <dgm:pt modelId="{E56C7C4E-AC5E-4B58-889C-C4F9F4F6EC69}" type="parTrans" cxnId="{1AA4B005-4E6D-42EE-ADB2-27DFCD8DE4FC}">
      <dgm:prSet/>
      <dgm:spPr/>
      <dgm:t>
        <a:bodyPr/>
        <a:lstStyle/>
        <a:p>
          <a:endParaRPr lang="en-US"/>
        </a:p>
      </dgm:t>
    </dgm:pt>
    <dgm:pt modelId="{81BE5DF3-4CD0-4787-BBD6-95FFE8CE7B8F}" type="sibTrans" cxnId="{1AA4B005-4E6D-42EE-ADB2-27DFCD8DE4FC}">
      <dgm:prSet/>
      <dgm:spPr/>
      <dgm:t>
        <a:bodyPr/>
        <a:lstStyle/>
        <a:p>
          <a:endParaRPr lang="en-US"/>
        </a:p>
      </dgm:t>
    </dgm:pt>
    <dgm:pt modelId="{9DAACB1A-536C-4D6D-BFDC-D39639F80174}">
      <dgm:prSet phldrT="[Text]" phldr="1"/>
      <dgm:spPr/>
      <dgm:t>
        <a:bodyPr/>
        <a:lstStyle/>
        <a:p>
          <a:endParaRPr lang="en-US"/>
        </a:p>
      </dgm:t>
    </dgm:pt>
    <dgm:pt modelId="{92E9788D-3B23-4B6C-995A-7778D4AC8E10}" type="parTrans" cxnId="{1AED4339-CE92-4CDE-8451-5FBBAB0269F1}">
      <dgm:prSet/>
      <dgm:spPr/>
      <dgm:t>
        <a:bodyPr/>
        <a:lstStyle/>
        <a:p>
          <a:endParaRPr lang="en-US"/>
        </a:p>
      </dgm:t>
    </dgm:pt>
    <dgm:pt modelId="{B4C9E62B-44F1-4FCA-AEDB-B576BD615C54}" type="sibTrans" cxnId="{1AED4339-CE92-4CDE-8451-5FBBAB0269F1}">
      <dgm:prSet/>
      <dgm:spPr/>
      <dgm:t>
        <a:bodyPr/>
        <a:lstStyle/>
        <a:p>
          <a:endParaRPr lang="en-US"/>
        </a:p>
      </dgm:t>
    </dgm:pt>
    <dgm:pt modelId="{B818A29B-1AD6-44C3-9273-13235861DD41}">
      <dgm:prSet phldrT="[Text]" phldr="1"/>
      <dgm:spPr/>
      <dgm:t>
        <a:bodyPr/>
        <a:lstStyle/>
        <a:p>
          <a:endParaRPr lang="en-US"/>
        </a:p>
      </dgm:t>
    </dgm:pt>
    <dgm:pt modelId="{575E53D2-A59E-4C85-8F59-481525832D97}" type="parTrans" cxnId="{EA8B1F48-0067-4C91-913E-18D6FEFFC3C8}">
      <dgm:prSet/>
      <dgm:spPr/>
      <dgm:t>
        <a:bodyPr/>
        <a:lstStyle/>
        <a:p>
          <a:endParaRPr lang="en-US"/>
        </a:p>
      </dgm:t>
    </dgm:pt>
    <dgm:pt modelId="{FE99A47F-FEF5-4E37-BD52-D407DE30E077}" type="sibTrans" cxnId="{EA8B1F48-0067-4C91-913E-18D6FEFFC3C8}">
      <dgm:prSet/>
      <dgm:spPr/>
      <dgm:t>
        <a:bodyPr/>
        <a:lstStyle/>
        <a:p>
          <a:endParaRPr lang="en-US"/>
        </a:p>
      </dgm:t>
    </dgm:pt>
    <dgm:pt modelId="{5FA9ACC2-E1DA-4FC0-BDF7-01D6332DA02E}">
      <dgm:prSet phldrT="[Text]" phldr="1"/>
      <dgm:spPr/>
      <dgm:t>
        <a:bodyPr/>
        <a:lstStyle/>
        <a:p>
          <a:endParaRPr lang="en-US"/>
        </a:p>
      </dgm:t>
    </dgm:pt>
    <dgm:pt modelId="{C7FF01E2-BA5D-4E8E-97F7-C615D0DF98F8}" type="parTrans" cxnId="{F5CF10D8-5D8F-4731-9DA2-5A96401441DE}">
      <dgm:prSet/>
      <dgm:spPr/>
      <dgm:t>
        <a:bodyPr/>
        <a:lstStyle/>
        <a:p>
          <a:endParaRPr lang="en-US"/>
        </a:p>
      </dgm:t>
    </dgm:pt>
    <dgm:pt modelId="{52E1DEF9-2D8A-4EFE-BA82-C7F4E6A81D0C}" type="sibTrans" cxnId="{F5CF10D8-5D8F-4731-9DA2-5A96401441DE}">
      <dgm:prSet/>
      <dgm:spPr/>
      <dgm:t>
        <a:bodyPr/>
        <a:lstStyle/>
        <a:p>
          <a:endParaRPr lang="en-US"/>
        </a:p>
      </dgm:t>
    </dgm:pt>
    <dgm:pt modelId="{343FD467-F3FB-46CF-BB12-385E867A5184}" type="pres">
      <dgm:prSet presAssocID="{94C7FDD0-AAD2-419C-AFC9-BBBE6FC36DB3}" presName="hierChild1" presStyleCnt="0">
        <dgm:presLayoutVars>
          <dgm:chPref val="1"/>
          <dgm:dir/>
          <dgm:animOne val="branch"/>
          <dgm:animLvl val="lvl"/>
          <dgm:resizeHandles/>
        </dgm:presLayoutVars>
      </dgm:prSet>
      <dgm:spPr/>
      <dgm:t>
        <a:bodyPr/>
        <a:lstStyle/>
        <a:p>
          <a:endParaRPr lang="en-US"/>
        </a:p>
      </dgm:t>
    </dgm:pt>
    <dgm:pt modelId="{B1A89F8C-C6D4-45D7-A95D-988D543CE467}" type="pres">
      <dgm:prSet presAssocID="{E9667564-14AD-45D3-ACD8-C1ABCCBCC63E}" presName="hierRoot1" presStyleCnt="0"/>
      <dgm:spPr/>
    </dgm:pt>
    <dgm:pt modelId="{B80E2564-7341-4560-94FF-11EE2C253BA5}" type="pres">
      <dgm:prSet presAssocID="{E9667564-14AD-45D3-ACD8-C1ABCCBCC63E}" presName="composite" presStyleCnt="0"/>
      <dgm:spPr/>
    </dgm:pt>
    <dgm:pt modelId="{7B8EC359-1DC9-40A7-BE23-29B312694D6D}" type="pres">
      <dgm:prSet presAssocID="{E9667564-14AD-45D3-ACD8-C1ABCCBCC63E}" presName="image" presStyleLbl="node0" presStyleIdx="0" presStyleCnt="1"/>
      <dgm:spPr/>
    </dgm:pt>
    <dgm:pt modelId="{9F781E3E-3DC2-4767-882E-70745A7F3EC5}" type="pres">
      <dgm:prSet presAssocID="{E9667564-14AD-45D3-ACD8-C1ABCCBCC63E}" presName="text" presStyleLbl="revTx" presStyleIdx="0" presStyleCnt="6">
        <dgm:presLayoutVars>
          <dgm:chPref val="3"/>
        </dgm:presLayoutVars>
      </dgm:prSet>
      <dgm:spPr/>
      <dgm:t>
        <a:bodyPr/>
        <a:lstStyle/>
        <a:p>
          <a:endParaRPr lang="en-US"/>
        </a:p>
      </dgm:t>
    </dgm:pt>
    <dgm:pt modelId="{64F02A9C-8D20-402F-86F0-015C5CD6677B}" type="pres">
      <dgm:prSet presAssocID="{E9667564-14AD-45D3-ACD8-C1ABCCBCC63E}" presName="hierChild2" presStyleCnt="0"/>
      <dgm:spPr/>
    </dgm:pt>
    <dgm:pt modelId="{0BD93774-5544-47E6-A145-4356ABA9BBD9}" type="pres">
      <dgm:prSet presAssocID="{D12E1C3C-E60F-4DB2-B574-8BF0636F23C6}" presName="Name10" presStyleLbl="parChTrans1D2" presStyleIdx="0" presStyleCnt="2"/>
      <dgm:spPr/>
      <dgm:t>
        <a:bodyPr/>
        <a:lstStyle/>
        <a:p>
          <a:endParaRPr lang="en-US"/>
        </a:p>
      </dgm:t>
    </dgm:pt>
    <dgm:pt modelId="{0ABD5E6B-692E-41C4-8544-142283DA578C}" type="pres">
      <dgm:prSet presAssocID="{6A07B9C6-4160-455E-8C74-72F18E901367}" presName="hierRoot2" presStyleCnt="0"/>
      <dgm:spPr/>
    </dgm:pt>
    <dgm:pt modelId="{BE0260C9-70DB-4433-806B-6DCA26C492CE}" type="pres">
      <dgm:prSet presAssocID="{6A07B9C6-4160-455E-8C74-72F18E901367}" presName="composite2" presStyleCnt="0"/>
      <dgm:spPr/>
    </dgm:pt>
    <dgm:pt modelId="{BA7709C3-4A7D-4077-B8D4-23D52909BE2B}" type="pres">
      <dgm:prSet presAssocID="{6A07B9C6-4160-455E-8C74-72F18E901367}" presName="image2" presStyleLbl="node2" presStyleIdx="0" presStyleCnt="2"/>
      <dgm:spPr/>
    </dgm:pt>
    <dgm:pt modelId="{41289680-632B-42A4-BCE5-4C20A233DA89}" type="pres">
      <dgm:prSet presAssocID="{6A07B9C6-4160-455E-8C74-72F18E901367}" presName="text2" presStyleLbl="revTx" presStyleIdx="1" presStyleCnt="6">
        <dgm:presLayoutVars>
          <dgm:chPref val="3"/>
        </dgm:presLayoutVars>
      </dgm:prSet>
      <dgm:spPr/>
      <dgm:t>
        <a:bodyPr/>
        <a:lstStyle/>
        <a:p>
          <a:endParaRPr lang="en-US"/>
        </a:p>
      </dgm:t>
    </dgm:pt>
    <dgm:pt modelId="{DB3FD418-A445-44D7-8691-DCB43991B827}" type="pres">
      <dgm:prSet presAssocID="{6A07B9C6-4160-455E-8C74-72F18E901367}" presName="hierChild3" presStyleCnt="0"/>
      <dgm:spPr/>
    </dgm:pt>
    <dgm:pt modelId="{8886C317-73EB-439B-AF8C-24AC2053367A}" type="pres">
      <dgm:prSet presAssocID="{E56C7C4E-AC5E-4B58-889C-C4F9F4F6EC69}" presName="Name17" presStyleLbl="parChTrans1D3" presStyleIdx="0" presStyleCnt="3"/>
      <dgm:spPr/>
      <dgm:t>
        <a:bodyPr/>
        <a:lstStyle/>
        <a:p>
          <a:endParaRPr lang="en-US"/>
        </a:p>
      </dgm:t>
    </dgm:pt>
    <dgm:pt modelId="{A392556A-C14F-4D54-AEFD-C721D44F7C5A}" type="pres">
      <dgm:prSet presAssocID="{664B6403-71A3-4A6B-B058-991FE51306E9}" presName="hierRoot3" presStyleCnt="0"/>
      <dgm:spPr/>
    </dgm:pt>
    <dgm:pt modelId="{377AC492-B950-47F0-9EE1-17681839B577}" type="pres">
      <dgm:prSet presAssocID="{664B6403-71A3-4A6B-B058-991FE51306E9}" presName="composite3" presStyleCnt="0"/>
      <dgm:spPr/>
    </dgm:pt>
    <dgm:pt modelId="{D5E7A8B0-6A3A-4D79-A0D2-3741B750C434}" type="pres">
      <dgm:prSet presAssocID="{664B6403-71A3-4A6B-B058-991FE51306E9}" presName="image3" presStyleLbl="node3" presStyleIdx="0" presStyleCnt="3"/>
      <dgm:spPr/>
    </dgm:pt>
    <dgm:pt modelId="{C7C737C7-06D8-49B6-8471-838B1324602B}" type="pres">
      <dgm:prSet presAssocID="{664B6403-71A3-4A6B-B058-991FE51306E9}" presName="text3" presStyleLbl="revTx" presStyleIdx="2" presStyleCnt="6">
        <dgm:presLayoutVars>
          <dgm:chPref val="3"/>
        </dgm:presLayoutVars>
      </dgm:prSet>
      <dgm:spPr/>
      <dgm:t>
        <a:bodyPr/>
        <a:lstStyle/>
        <a:p>
          <a:endParaRPr lang="en-US"/>
        </a:p>
      </dgm:t>
    </dgm:pt>
    <dgm:pt modelId="{792C1E6D-1E13-47DE-8446-FEC633A56940}" type="pres">
      <dgm:prSet presAssocID="{664B6403-71A3-4A6B-B058-991FE51306E9}" presName="hierChild4" presStyleCnt="0"/>
      <dgm:spPr/>
    </dgm:pt>
    <dgm:pt modelId="{41B01B65-88F7-4158-BFC4-30E0EF0E5D42}" type="pres">
      <dgm:prSet presAssocID="{92E9788D-3B23-4B6C-995A-7778D4AC8E10}" presName="Name17" presStyleLbl="parChTrans1D3" presStyleIdx="1" presStyleCnt="3"/>
      <dgm:spPr/>
      <dgm:t>
        <a:bodyPr/>
        <a:lstStyle/>
        <a:p>
          <a:endParaRPr lang="en-US"/>
        </a:p>
      </dgm:t>
    </dgm:pt>
    <dgm:pt modelId="{0F59BE54-BEE8-484E-B9A1-BB01042F8041}" type="pres">
      <dgm:prSet presAssocID="{9DAACB1A-536C-4D6D-BFDC-D39639F80174}" presName="hierRoot3" presStyleCnt="0"/>
      <dgm:spPr/>
    </dgm:pt>
    <dgm:pt modelId="{BCFEE3CA-EBCD-40D1-AC85-AF8CCDB0088D}" type="pres">
      <dgm:prSet presAssocID="{9DAACB1A-536C-4D6D-BFDC-D39639F80174}" presName="composite3" presStyleCnt="0"/>
      <dgm:spPr/>
    </dgm:pt>
    <dgm:pt modelId="{B723AF5F-FDBC-4CAD-B15D-2D38F9A0770C}" type="pres">
      <dgm:prSet presAssocID="{9DAACB1A-536C-4D6D-BFDC-D39639F80174}" presName="image3" presStyleLbl="node3" presStyleIdx="1" presStyleCnt="3"/>
      <dgm:spPr/>
    </dgm:pt>
    <dgm:pt modelId="{6A8A9762-97A0-4179-96E8-58A267043AA7}" type="pres">
      <dgm:prSet presAssocID="{9DAACB1A-536C-4D6D-BFDC-D39639F80174}" presName="text3" presStyleLbl="revTx" presStyleIdx="3" presStyleCnt="6">
        <dgm:presLayoutVars>
          <dgm:chPref val="3"/>
        </dgm:presLayoutVars>
      </dgm:prSet>
      <dgm:spPr/>
      <dgm:t>
        <a:bodyPr/>
        <a:lstStyle/>
        <a:p>
          <a:endParaRPr lang="en-US"/>
        </a:p>
      </dgm:t>
    </dgm:pt>
    <dgm:pt modelId="{E2DDB516-C27C-44AF-A684-E947AD9E08BD}" type="pres">
      <dgm:prSet presAssocID="{9DAACB1A-536C-4D6D-BFDC-D39639F80174}" presName="hierChild4" presStyleCnt="0"/>
      <dgm:spPr/>
    </dgm:pt>
    <dgm:pt modelId="{CE07A075-C6A1-4671-9E47-E00AACDC435B}" type="pres">
      <dgm:prSet presAssocID="{575E53D2-A59E-4C85-8F59-481525832D97}" presName="Name10" presStyleLbl="parChTrans1D2" presStyleIdx="1" presStyleCnt="2"/>
      <dgm:spPr/>
      <dgm:t>
        <a:bodyPr/>
        <a:lstStyle/>
        <a:p>
          <a:endParaRPr lang="en-US"/>
        </a:p>
      </dgm:t>
    </dgm:pt>
    <dgm:pt modelId="{3EFC0676-4ADC-4382-AFC5-7785DD8A0D4A}" type="pres">
      <dgm:prSet presAssocID="{B818A29B-1AD6-44C3-9273-13235861DD41}" presName="hierRoot2" presStyleCnt="0"/>
      <dgm:spPr/>
    </dgm:pt>
    <dgm:pt modelId="{70772DD0-DD3C-41AC-9BE0-FA5E35EDC956}" type="pres">
      <dgm:prSet presAssocID="{B818A29B-1AD6-44C3-9273-13235861DD41}" presName="composite2" presStyleCnt="0"/>
      <dgm:spPr/>
    </dgm:pt>
    <dgm:pt modelId="{0E01F25D-3137-42B4-8BD4-03972C203C14}" type="pres">
      <dgm:prSet presAssocID="{B818A29B-1AD6-44C3-9273-13235861DD41}" presName="image2" presStyleLbl="node2" presStyleIdx="1" presStyleCnt="2"/>
      <dgm:spPr/>
    </dgm:pt>
    <dgm:pt modelId="{0060D829-33CC-4C76-8842-21284DEF264C}" type="pres">
      <dgm:prSet presAssocID="{B818A29B-1AD6-44C3-9273-13235861DD41}" presName="text2" presStyleLbl="revTx" presStyleIdx="4" presStyleCnt="6">
        <dgm:presLayoutVars>
          <dgm:chPref val="3"/>
        </dgm:presLayoutVars>
      </dgm:prSet>
      <dgm:spPr/>
      <dgm:t>
        <a:bodyPr/>
        <a:lstStyle/>
        <a:p>
          <a:endParaRPr lang="en-US"/>
        </a:p>
      </dgm:t>
    </dgm:pt>
    <dgm:pt modelId="{26D5A822-8DFB-4B65-9775-3785A960924A}" type="pres">
      <dgm:prSet presAssocID="{B818A29B-1AD6-44C3-9273-13235861DD41}" presName="hierChild3" presStyleCnt="0"/>
      <dgm:spPr/>
    </dgm:pt>
    <dgm:pt modelId="{00CFC339-A71B-4DCF-A73A-8C8431BD8F3B}" type="pres">
      <dgm:prSet presAssocID="{C7FF01E2-BA5D-4E8E-97F7-C615D0DF98F8}" presName="Name17" presStyleLbl="parChTrans1D3" presStyleIdx="2" presStyleCnt="3"/>
      <dgm:spPr/>
      <dgm:t>
        <a:bodyPr/>
        <a:lstStyle/>
        <a:p>
          <a:endParaRPr lang="en-US"/>
        </a:p>
      </dgm:t>
    </dgm:pt>
    <dgm:pt modelId="{FBD27A44-5684-42B8-9137-0905DBDB55B1}" type="pres">
      <dgm:prSet presAssocID="{5FA9ACC2-E1DA-4FC0-BDF7-01D6332DA02E}" presName="hierRoot3" presStyleCnt="0"/>
      <dgm:spPr/>
    </dgm:pt>
    <dgm:pt modelId="{4FFA733C-3C53-4540-99F5-8BDC48A03509}" type="pres">
      <dgm:prSet presAssocID="{5FA9ACC2-E1DA-4FC0-BDF7-01D6332DA02E}" presName="composite3" presStyleCnt="0"/>
      <dgm:spPr/>
    </dgm:pt>
    <dgm:pt modelId="{62585ED3-DD1F-468F-8727-16492DB18598}" type="pres">
      <dgm:prSet presAssocID="{5FA9ACC2-E1DA-4FC0-BDF7-01D6332DA02E}" presName="image3" presStyleLbl="node3" presStyleIdx="2" presStyleCnt="3"/>
      <dgm:spPr/>
    </dgm:pt>
    <dgm:pt modelId="{A04719F1-4AB0-48E7-B90A-7127CA78C5DA}" type="pres">
      <dgm:prSet presAssocID="{5FA9ACC2-E1DA-4FC0-BDF7-01D6332DA02E}" presName="text3" presStyleLbl="revTx" presStyleIdx="5" presStyleCnt="6">
        <dgm:presLayoutVars>
          <dgm:chPref val="3"/>
        </dgm:presLayoutVars>
      </dgm:prSet>
      <dgm:spPr/>
      <dgm:t>
        <a:bodyPr/>
        <a:lstStyle/>
        <a:p>
          <a:endParaRPr lang="en-US"/>
        </a:p>
      </dgm:t>
    </dgm:pt>
    <dgm:pt modelId="{394CE9F0-BC87-467D-9DEA-8BFF3DCB5242}" type="pres">
      <dgm:prSet presAssocID="{5FA9ACC2-E1DA-4FC0-BDF7-01D6332DA02E}" presName="hierChild4" presStyleCnt="0"/>
      <dgm:spPr/>
    </dgm:pt>
  </dgm:ptLst>
  <dgm:cxnLst>
    <dgm:cxn modelId="{F490AF73-43EB-4319-B7AF-FADB4E0771A4}" type="presOf" srcId="{92E9788D-3B23-4B6C-995A-7778D4AC8E10}" destId="{41B01B65-88F7-4158-BFC4-30E0EF0E5D42}" srcOrd="0" destOrd="0" presId="urn:microsoft.com/office/officeart/2009/layout/CirclePictureHierarchy"/>
    <dgm:cxn modelId="{7556D466-CA85-4435-8081-3F508E7BD14A}" type="presOf" srcId="{B818A29B-1AD6-44C3-9273-13235861DD41}" destId="{0060D829-33CC-4C76-8842-21284DEF264C}" srcOrd="0" destOrd="0" presId="urn:microsoft.com/office/officeart/2009/layout/CirclePictureHierarchy"/>
    <dgm:cxn modelId="{6EB6AB43-4924-4269-B20D-91FDE2A33200}" type="presOf" srcId="{9DAACB1A-536C-4D6D-BFDC-D39639F80174}" destId="{6A8A9762-97A0-4179-96E8-58A267043AA7}" srcOrd="0" destOrd="0" presId="urn:microsoft.com/office/officeart/2009/layout/CirclePictureHierarchy"/>
    <dgm:cxn modelId="{EDF0B1E6-6948-49A3-BE0B-508F6728F6F2}" type="presOf" srcId="{6A07B9C6-4160-455E-8C74-72F18E901367}" destId="{41289680-632B-42A4-BCE5-4C20A233DA89}" srcOrd="0" destOrd="0" presId="urn:microsoft.com/office/officeart/2009/layout/CirclePictureHierarchy"/>
    <dgm:cxn modelId="{95F6A97E-6EDB-4E08-8872-79FC742E8C1D}" type="presOf" srcId="{C7FF01E2-BA5D-4E8E-97F7-C615D0DF98F8}" destId="{00CFC339-A71B-4DCF-A73A-8C8431BD8F3B}" srcOrd="0" destOrd="0" presId="urn:microsoft.com/office/officeart/2009/layout/CirclePictureHierarchy"/>
    <dgm:cxn modelId="{98B51426-CC84-454B-A5A1-ACB46C3950FF}" type="presOf" srcId="{5FA9ACC2-E1DA-4FC0-BDF7-01D6332DA02E}" destId="{A04719F1-4AB0-48E7-B90A-7127CA78C5DA}" srcOrd="0" destOrd="0" presId="urn:microsoft.com/office/officeart/2009/layout/CirclePictureHierarchy"/>
    <dgm:cxn modelId="{CD8F3423-FCF2-4185-B764-13EE759361BA}" type="presOf" srcId="{E9667564-14AD-45D3-ACD8-C1ABCCBCC63E}" destId="{9F781E3E-3DC2-4767-882E-70745A7F3EC5}" srcOrd="0" destOrd="0" presId="urn:microsoft.com/office/officeart/2009/layout/CirclePictureHierarchy"/>
    <dgm:cxn modelId="{BC852D4C-3A6E-455F-9FA5-08D3D8E73CAA}" srcId="{E9667564-14AD-45D3-ACD8-C1ABCCBCC63E}" destId="{6A07B9C6-4160-455E-8C74-72F18E901367}" srcOrd="0" destOrd="0" parTransId="{D12E1C3C-E60F-4DB2-B574-8BF0636F23C6}" sibTransId="{4A84A777-7845-4F2B-80FF-4CA141BEC0D8}"/>
    <dgm:cxn modelId="{F5CF10D8-5D8F-4731-9DA2-5A96401441DE}" srcId="{B818A29B-1AD6-44C3-9273-13235861DD41}" destId="{5FA9ACC2-E1DA-4FC0-BDF7-01D6332DA02E}" srcOrd="0" destOrd="0" parTransId="{C7FF01E2-BA5D-4E8E-97F7-C615D0DF98F8}" sibTransId="{52E1DEF9-2D8A-4EFE-BA82-C7F4E6A81D0C}"/>
    <dgm:cxn modelId="{1AED4339-CE92-4CDE-8451-5FBBAB0269F1}" srcId="{6A07B9C6-4160-455E-8C74-72F18E901367}" destId="{9DAACB1A-536C-4D6D-BFDC-D39639F80174}" srcOrd="1" destOrd="0" parTransId="{92E9788D-3B23-4B6C-995A-7778D4AC8E10}" sibTransId="{B4C9E62B-44F1-4FCA-AEDB-B576BD615C54}"/>
    <dgm:cxn modelId="{966FE45F-4827-4DA0-807A-67872EF4D582}" type="presOf" srcId="{664B6403-71A3-4A6B-B058-991FE51306E9}" destId="{C7C737C7-06D8-49B6-8471-838B1324602B}" srcOrd="0" destOrd="0" presId="urn:microsoft.com/office/officeart/2009/layout/CirclePictureHierarchy"/>
    <dgm:cxn modelId="{D750873F-D599-49FF-92CD-DE1E3473E623}" srcId="{94C7FDD0-AAD2-419C-AFC9-BBBE6FC36DB3}" destId="{E9667564-14AD-45D3-ACD8-C1ABCCBCC63E}" srcOrd="0" destOrd="0" parTransId="{90463D30-C616-4947-BC17-7590517A7167}" sibTransId="{99978BF7-BFAD-4259-8CD5-F930CF966C34}"/>
    <dgm:cxn modelId="{9350AD66-C4E4-4508-A764-B36EE51D352C}" type="presOf" srcId="{575E53D2-A59E-4C85-8F59-481525832D97}" destId="{CE07A075-C6A1-4671-9E47-E00AACDC435B}" srcOrd="0" destOrd="0" presId="urn:microsoft.com/office/officeart/2009/layout/CirclePictureHierarchy"/>
    <dgm:cxn modelId="{3FF5B5A9-461F-48CE-A0A5-799F0EDD3FA5}" type="presOf" srcId="{94C7FDD0-AAD2-419C-AFC9-BBBE6FC36DB3}" destId="{343FD467-F3FB-46CF-BB12-385E867A5184}" srcOrd="0" destOrd="0" presId="urn:microsoft.com/office/officeart/2009/layout/CirclePictureHierarchy"/>
    <dgm:cxn modelId="{EA8B1F48-0067-4C91-913E-18D6FEFFC3C8}" srcId="{E9667564-14AD-45D3-ACD8-C1ABCCBCC63E}" destId="{B818A29B-1AD6-44C3-9273-13235861DD41}" srcOrd="1" destOrd="0" parTransId="{575E53D2-A59E-4C85-8F59-481525832D97}" sibTransId="{FE99A47F-FEF5-4E37-BD52-D407DE30E077}"/>
    <dgm:cxn modelId="{1AA4B005-4E6D-42EE-ADB2-27DFCD8DE4FC}" srcId="{6A07B9C6-4160-455E-8C74-72F18E901367}" destId="{664B6403-71A3-4A6B-B058-991FE51306E9}" srcOrd="0" destOrd="0" parTransId="{E56C7C4E-AC5E-4B58-889C-C4F9F4F6EC69}" sibTransId="{81BE5DF3-4CD0-4787-BBD6-95FFE8CE7B8F}"/>
    <dgm:cxn modelId="{DCEAED7D-9FD1-4EC1-AE5B-CDE4CF4E662C}" type="presOf" srcId="{D12E1C3C-E60F-4DB2-B574-8BF0636F23C6}" destId="{0BD93774-5544-47E6-A145-4356ABA9BBD9}" srcOrd="0" destOrd="0" presId="urn:microsoft.com/office/officeart/2009/layout/CirclePictureHierarchy"/>
    <dgm:cxn modelId="{FC9C29BC-9A36-4E77-9F75-63718544A722}" type="presOf" srcId="{E56C7C4E-AC5E-4B58-889C-C4F9F4F6EC69}" destId="{8886C317-73EB-439B-AF8C-24AC2053367A}" srcOrd="0" destOrd="0" presId="urn:microsoft.com/office/officeart/2009/layout/CirclePictureHierarchy"/>
    <dgm:cxn modelId="{7D12296E-9008-4251-8CA4-267F1B299232}" type="presParOf" srcId="{343FD467-F3FB-46CF-BB12-385E867A5184}" destId="{B1A89F8C-C6D4-45D7-A95D-988D543CE467}" srcOrd="0" destOrd="0" presId="urn:microsoft.com/office/officeart/2009/layout/CirclePictureHierarchy"/>
    <dgm:cxn modelId="{D96DBEC6-4BAF-4FC8-A4E3-529D22843151}" type="presParOf" srcId="{B1A89F8C-C6D4-45D7-A95D-988D543CE467}" destId="{B80E2564-7341-4560-94FF-11EE2C253BA5}" srcOrd="0" destOrd="0" presId="urn:microsoft.com/office/officeart/2009/layout/CirclePictureHierarchy"/>
    <dgm:cxn modelId="{232C6B0F-F819-46C9-B9B6-0ADBB4F1D7E5}" type="presParOf" srcId="{B80E2564-7341-4560-94FF-11EE2C253BA5}" destId="{7B8EC359-1DC9-40A7-BE23-29B312694D6D}" srcOrd="0" destOrd="0" presId="urn:microsoft.com/office/officeart/2009/layout/CirclePictureHierarchy"/>
    <dgm:cxn modelId="{BC7E9BF4-CCC7-49E5-9B3C-55BB89B3814F}" type="presParOf" srcId="{B80E2564-7341-4560-94FF-11EE2C253BA5}" destId="{9F781E3E-3DC2-4767-882E-70745A7F3EC5}" srcOrd="1" destOrd="0" presId="urn:microsoft.com/office/officeart/2009/layout/CirclePictureHierarchy"/>
    <dgm:cxn modelId="{564E7889-BCFF-4052-822B-3240F7346805}" type="presParOf" srcId="{B1A89F8C-C6D4-45D7-A95D-988D543CE467}" destId="{64F02A9C-8D20-402F-86F0-015C5CD6677B}" srcOrd="1" destOrd="0" presId="urn:microsoft.com/office/officeart/2009/layout/CirclePictureHierarchy"/>
    <dgm:cxn modelId="{E4F03B0C-14B2-4096-8F37-27A690B27AD6}" type="presParOf" srcId="{64F02A9C-8D20-402F-86F0-015C5CD6677B}" destId="{0BD93774-5544-47E6-A145-4356ABA9BBD9}" srcOrd="0" destOrd="0" presId="urn:microsoft.com/office/officeart/2009/layout/CirclePictureHierarchy"/>
    <dgm:cxn modelId="{76959D0E-9A7D-489D-824A-03016E07319C}" type="presParOf" srcId="{64F02A9C-8D20-402F-86F0-015C5CD6677B}" destId="{0ABD5E6B-692E-41C4-8544-142283DA578C}" srcOrd="1" destOrd="0" presId="urn:microsoft.com/office/officeart/2009/layout/CirclePictureHierarchy"/>
    <dgm:cxn modelId="{55FFA3BF-0B64-4A89-ABB7-D021A97B6427}" type="presParOf" srcId="{0ABD5E6B-692E-41C4-8544-142283DA578C}" destId="{BE0260C9-70DB-4433-806B-6DCA26C492CE}" srcOrd="0" destOrd="0" presId="urn:microsoft.com/office/officeart/2009/layout/CirclePictureHierarchy"/>
    <dgm:cxn modelId="{C7BF553C-28AD-4C11-A845-98260290A8C4}" type="presParOf" srcId="{BE0260C9-70DB-4433-806B-6DCA26C492CE}" destId="{BA7709C3-4A7D-4077-B8D4-23D52909BE2B}" srcOrd="0" destOrd="0" presId="urn:microsoft.com/office/officeart/2009/layout/CirclePictureHierarchy"/>
    <dgm:cxn modelId="{DC152646-D26F-441F-9420-D30CB1403EE3}" type="presParOf" srcId="{BE0260C9-70DB-4433-806B-6DCA26C492CE}" destId="{41289680-632B-42A4-BCE5-4C20A233DA89}" srcOrd="1" destOrd="0" presId="urn:microsoft.com/office/officeart/2009/layout/CirclePictureHierarchy"/>
    <dgm:cxn modelId="{4774E73F-6B83-4381-B589-53D1A3CAA9AF}" type="presParOf" srcId="{0ABD5E6B-692E-41C4-8544-142283DA578C}" destId="{DB3FD418-A445-44D7-8691-DCB43991B827}" srcOrd="1" destOrd="0" presId="urn:microsoft.com/office/officeart/2009/layout/CirclePictureHierarchy"/>
    <dgm:cxn modelId="{F6598BA0-DF5E-4E19-8403-CF487E70E315}" type="presParOf" srcId="{DB3FD418-A445-44D7-8691-DCB43991B827}" destId="{8886C317-73EB-439B-AF8C-24AC2053367A}" srcOrd="0" destOrd="0" presId="urn:microsoft.com/office/officeart/2009/layout/CirclePictureHierarchy"/>
    <dgm:cxn modelId="{1852DA2E-8F6B-447F-A11C-E7EF4C03B6B4}" type="presParOf" srcId="{DB3FD418-A445-44D7-8691-DCB43991B827}" destId="{A392556A-C14F-4D54-AEFD-C721D44F7C5A}" srcOrd="1" destOrd="0" presId="urn:microsoft.com/office/officeart/2009/layout/CirclePictureHierarchy"/>
    <dgm:cxn modelId="{56ADF243-77A1-4865-808E-698A6D621D4D}" type="presParOf" srcId="{A392556A-C14F-4D54-AEFD-C721D44F7C5A}" destId="{377AC492-B950-47F0-9EE1-17681839B577}" srcOrd="0" destOrd="0" presId="urn:microsoft.com/office/officeart/2009/layout/CirclePictureHierarchy"/>
    <dgm:cxn modelId="{03F8954C-3C7A-461D-8D01-9FAA1605AA0B}" type="presParOf" srcId="{377AC492-B950-47F0-9EE1-17681839B577}" destId="{D5E7A8B0-6A3A-4D79-A0D2-3741B750C434}" srcOrd="0" destOrd="0" presId="urn:microsoft.com/office/officeart/2009/layout/CirclePictureHierarchy"/>
    <dgm:cxn modelId="{95135ABD-CB11-4947-8E24-3393F7CC625D}" type="presParOf" srcId="{377AC492-B950-47F0-9EE1-17681839B577}" destId="{C7C737C7-06D8-49B6-8471-838B1324602B}" srcOrd="1" destOrd="0" presId="urn:microsoft.com/office/officeart/2009/layout/CirclePictureHierarchy"/>
    <dgm:cxn modelId="{6489907A-2BC0-4EF9-B684-5409909303EE}" type="presParOf" srcId="{A392556A-C14F-4D54-AEFD-C721D44F7C5A}" destId="{792C1E6D-1E13-47DE-8446-FEC633A56940}" srcOrd="1" destOrd="0" presId="urn:microsoft.com/office/officeart/2009/layout/CirclePictureHierarchy"/>
    <dgm:cxn modelId="{24A82C1F-D7AB-4B20-B0F5-75451288E47C}" type="presParOf" srcId="{DB3FD418-A445-44D7-8691-DCB43991B827}" destId="{41B01B65-88F7-4158-BFC4-30E0EF0E5D42}" srcOrd="2" destOrd="0" presId="urn:microsoft.com/office/officeart/2009/layout/CirclePictureHierarchy"/>
    <dgm:cxn modelId="{43A3CC8A-8999-4D6F-A54E-EDFD0CA215FC}" type="presParOf" srcId="{DB3FD418-A445-44D7-8691-DCB43991B827}" destId="{0F59BE54-BEE8-484E-B9A1-BB01042F8041}" srcOrd="3" destOrd="0" presId="urn:microsoft.com/office/officeart/2009/layout/CirclePictureHierarchy"/>
    <dgm:cxn modelId="{B4C8F081-4D2F-49A1-86D9-48BD95F37ED1}" type="presParOf" srcId="{0F59BE54-BEE8-484E-B9A1-BB01042F8041}" destId="{BCFEE3CA-EBCD-40D1-AC85-AF8CCDB0088D}" srcOrd="0" destOrd="0" presId="urn:microsoft.com/office/officeart/2009/layout/CirclePictureHierarchy"/>
    <dgm:cxn modelId="{630C1D7B-1797-4BCE-BC35-C044A11B4FFE}" type="presParOf" srcId="{BCFEE3CA-EBCD-40D1-AC85-AF8CCDB0088D}" destId="{B723AF5F-FDBC-4CAD-B15D-2D38F9A0770C}" srcOrd="0" destOrd="0" presId="urn:microsoft.com/office/officeart/2009/layout/CirclePictureHierarchy"/>
    <dgm:cxn modelId="{7B913FD2-5691-4CE3-B164-C2BE63976326}" type="presParOf" srcId="{BCFEE3CA-EBCD-40D1-AC85-AF8CCDB0088D}" destId="{6A8A9762-97A0-4179-96E8-58A267043AA7}" srcOrd="1" destOrd="0" presId="urn:microsoft.com/office/officeart/2009/layout/CirclePictureHierarchy"/>
    <dgm:cxn modelId="{B911DBC9-4838-416A-B0E2-9E7BB6C00E54}" type="presParOf" srcId="{0F59BE54-BEE8-484E-B9A1-BB01042F8041}" destId="{E2DDB516-C27C-44AF-A684-E947AD9E08BD}" srcOrd="1" destOrd="0" presId="urn:microsoft.com/office/officeart/2009/layout/CirclePictureHierarchy"/>
    <dgm:cxn modelId="{98D0BFDA-46F1-4369-8FF2-6457135BA4B1}" type="presParOf" srcId="{64F02A9C-8D20-402F-86F0-015C5CD6677B}" destId="{CE07A075-C6A1-4671-9E47-E00AACDC435B}" srcOrd="2" destOrd="0" presId="urn:microsoft.com/office/officeart/2009/layout/CirclePictureHierarchy"/>
    <dgm:cxn modelId="{216CFE42-E7D0-4B51-B548-729F213FA53D}" type="presParOf" srcId="{64F02A9C-8D20-402F-86F0-015C5CD6677B}" destId="{3EFC0676-4ADC-4382-AFC5-7785DD8A0D4A}" srcOrd="3" destOrd="0" presId="urn:microsoft.com/office/officeart/2009/layout/CirclePictureHierarchy"/>
    <dgm:cxn modelId="{F8E2792B-4CD1-4DA6-B8C1-C94FD9250F9F}" type="presParOf" srcId="{3EFC0676-4ADC-4382-AFC5-7785DD8A0D4A}" destId="{70772DD0-DD3C-41AC-9BE0-FA5E35EDC956}" srcOrd="0" destOrd="0" presId="urn:microsoft.com/office/officeart/2009/layout/CirclePictureHierarchy"/>
    <dgm:cxn modelId="{16505B6E-6F04-4BC2-816D-BF21FBD3BFAD}" type="presParOf" srcId="{70772DD0-DD3C-41AC-9BE0-FA5E35EDC956}" destId="{0E01F25D-3137-42B4-8BD4-03972C203C14}" srcOrd="0" destOrd="0" presId="urn:microsoft.com/office/officeart/2009/layout/CirclePictureHierarchy"/>
    <dgm:cxn modelId="{7D2F7234-2114-4E36-8060-2E0DF877518E}" type="presParOf" srcId="{70772DD0-DD3C-41AC-9BE0-FA5E35EDC956}" destId="{0060D829-33CC-4C76-8842-21284DEF264C}" srcOrd="1" destOrd="0" presId="urn:microsoft.com/office/officeart/2009/layout/CirclePictureHierarchy"/>
    <dgm:cxn modelId="{EF703541-F62C-4B4E-B9FD-E98F1EE1242A}" type="presParOf" srcId="{3EFC0676-4ADC-4382-AFC5-7785DD8A0D4A}" destId="{26D5A822-8DFB-4B65-9775-3785A960924A}" srcOrd="1" destOrd="0" presId="urn:microsoft.com/office/officeart/2009/layout/CirclePictureHierarchy"/>
    <dgm:cxn modelId="{648E942A-09E6-48B0-AEE1-E55C1565EA5E}" type="presParOf" srcId="{26D5A822-8DFB-4B65-9775-3785A960924A}" destId="{00CFC339-A71B-4DCF-A73A-8C8431BD8F3B}" srcOrd="0" destOrd="0" presId="urn:microsoft.com/office/officeart/2009/layout/CirclePictureHierarchy"/>
    <dgm:cxn modelId="{61A635A0-6495-4AEF-BDF3-F2CCCFB57F29}" type="presParOf" srcId="{26D5A822-8DFB-4B65-9775-3785A960924A}" destId="{FBD27A44-5684-42B8-9137-0905DBDB55B1}" srcOrd="1" destOrd="0" presId="urn:microsoft.com/office/officeart/2009/layout/CirclePictureHierarchy"/>
    <dgm:cxn modelId="{50ACEAC4-5E65-44CA-B5EA-FFA5F74AC2A9}" type="presParOf" srcId="{FBD27A44-5684-42B8-9137-0905DBDB55B1}" destId="{4FFA733C-3C53-4540-99F5-8BDC48A03509}" srcOrd="0" destOrd="0" presId="urn:microsoft.com/office/officeart/2009/layout/CirclePictureHierarchy"/>
    <dgm:cxn modelId="{2913C5BE-E9C7-4B6B-8559-6854FCCF17F0}" type="presParOf" srcId="{4FFA733C-3C53-4540-99F5-8BDC48A03509}" destId="{62585ED3-DD1F-468F-8727-16492DB18598}" srcOrd="0" destOrd="0" presId="urn:microsoft.com/office/officeart/2009/layout/CirclePictureHierarchy"/>
    <dgm:cxn modelId="{771348C7-8A43-40ED-ABED-88ABFA55B716}" type="presParOf" srcId="{4FFA733C-3C53-4540-99F5-8BDC48A03509}" destId="{A04719F1-4AB0-48E7-B90A-7127CA78C5DA}" srcOrd="1" destOrd="0" presId="urn:microsoft.com/office/officeart/2009/layout/CirclePictureHierarchy"/>
    <dgm:cxn modelId="{6A7BBD5F-613D-4EEA-8ECD-2C744C2E436F}" type="presParOf" srcId="{FBD27A44-5684-42B8-9137-0905DBDB55B1}" destId="{394CE9F0-BC87-467D-9DEA-8BFF3DCB5242}" srcOrd="1" destOrd="0" presId="urn:microsoft.com/office/officeart/2009/layout/CirclePictureHierarchy"/>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0CFC339-A71B-4DCF-A73A-8C8431BD8F3B}">
      <dsp:nvSpPr>
        <dsp:cNvPr id="0" name=""/>
        <dsp:cNvSpPr/>
      </dsp:nvSpPr>
      <dsp:spPr>
        <a:xfrm>
          <a:off x="3383280" y="1658064"/>
          <a:ext cx="91440" cy="180022"/>
        </a:xfrm>
        <a:custGeom>
          <a:avLst/>
          <a:gdLst/>
          <a:ahLst/>
          <a:cxnLst/>
          <a:rect l="0" t="0" r="0" b="0"/>
          <a:pathLst>
            <a:path>
              <a:moveTo>
                <a:pt x="45720" y="0"/>
              </a:moveTo>
              <a:lnTo>
                <a:pt x="45720" y="180022"/>
              </a:lnTo>
            </a:path>
          </a:pathLst>
        </a:custGeom>
        <a:noFill/>
        <a:ln w="12700" cap="flat" cmpd="sng" algn="ctr">
          <a:solidFill>
            <a:schemeClr val="accent1">
              <a:shade val="8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CE07A075-C6A1-4671-9E47-E00AACDC435B}">
      <dsp:nvSpPr>
        <dsp:cNvPr id="0" name=""/>
        <dsp:cNvSpPr/>
      </dsp:nvSpPr>
      <dsp:spPr>
        <a:xfrm>
          <a:off x="2250281" y="906541"/>
          <a:ext cx="1178718" cy="180022"/>
        </a:xfrm>
        <a:custGeom>
          <a:avLst/>
          <a:gdLst/>
          <a:ahLst/>
          <a:cxnLst/>
          <a:rect l="0" t="0" r="0" b="0"/>
          <a:pathLst>
            <a:path>
              <a:moveTo>
                <a:pt x="0" y="0"/>
              </a:moveTo>
              <a:lnTo>
                <a:pt x="0" y="90725"/>
              </a:lnTo>
              <a:lnTo>
                <a:pt x="1178718" y="90725"/>
              </a:lnTo>
              <a:lnTo>
                <a:pt x="1178718" y="180022"/>
              </a:lnTo>
            </a:path>
          </a:pathLst>
        </a:custGeom>
        <a:noFill/>
        <a:ln w="1270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41B01B65-88F7-4158-BFC4-30E0EF0E5D42}">
      <dsp:nvSpPr>
        <dsp:cNvPr id="0" name=""/>
        <dsp:cNvSpPr/>
      </dsp:nvSpPr>
      <dsp:spPr>
        <a:xfrm>
          <a:off x="1071562" y="1658064"/>
          <a:ext cx="785812" cy="180022"/>
        </a:xfrm>
        <a:custGeom>
          <a:avLst/>
          <a:gdLst/>
          <a:ahLst/>
          <a:cxnLst/>
          <a:rect l="0" t="0" r="0" b="0"/>
          <a:pathLst>
            <a:path>
              <a:moveTo>
                <a:pt x="0" y="0"/>
              </a:moveTo>
              <a:lnTo>
                <a:pt x="0" y="90725"/>
              </a:lnTo>
              <a:lnTo>
                <a:pt x="785812" y="90725"/>
              </a:lnTo>
              <a:lnTo>
                <a:pt x="785812" y="180022"/>
              </a:lnTo>
            </a:path>
          </a:pathLst>
        </a:custGeom>
        <a:noFill/>
        <a:ln w="12700" cap="flat" cmpd="sng" algn="ctr">
          <a:solidFill>
            <a:schemeClr val="accent1">
              <a:shade val="8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8886C317-73EB-439B-AF8C-24AC2053367A}">
      <dsp:nvSpPr>
        <dsp:cNvPr id="0" name=""/>
        <dsp:cNvSpPr/>
      </dsp:nvSpPr>
      <dsp:spPr>
        <a:xfrm>
          <a:off x="285749" y="1658064"/>
          <a:ext cx="785812" cy="180022"/>
        </a:xfrm>
        <a:custGeom>
          <a:avLst/>
          <a:gdLst/>
          <a:ahLst/>
          <a:cxnLst/>
          <a:rect l="0" t="0" r="0" b="0"/>
          <a:pathLst>
            <a:path>
              <a:moveTo>
                <a:pt x="785812" y="0"/>
              </a:moveTo>
              <a:lnTo>
                <a:pt x="785812" y="90725"/>
              </a:lnTo>
              <a:lnTo>
                <a:pt x="0" y="90725"/>
              </a:lnTo>
              <a:lnTo>
                <a:pt x="0" y="180022"/>
              </a:lnTo>
            </a:path>
          </a:pathLst>
        </a:custGeom>
        <a:noFill/>
        <a:ln w="12700" cap="flat" cmpd="sng" algn="ctr">
          <a:solidFill>
            <a:schemeClr val="accent1">
              <a:shade val="8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0BD93774-5544-47E6-A145-4356ABA9BBD9}">
      <dsp:nvSpPr>
        <dsp:cNvPr id="0" name=""/>
        <dsp:cNvSpPr/>
      </dsp:nvSpPr>
      <dsp:spPr>
        <a:xfrm>
          <a:off x="1071562" y="906541"/>
          <a:ext cx="1178718" cy="180022"/>
        </a:xfrm>
        <a:custGeom>
          <a:avLst/>
          <a:gdLst/>
          <a:ahLst/>
          <a:cxnLst/>
          <a:rect l="0" t="0" r="0" b="0"/>
          <a:pathLst>
            <a:path>
              <a:moveTo>
                <a:pt x="1178718" y="0"/>
              </a:moveTo>
              <a:lnTo>
                <a:pt x="1178718" y="90725"/>
              </a:lnTo>
              <a:lnTo>
                <a:pt x="0" y="90725"/>
              </a:lnTo>
              <a:lnTo>
                <a:pt x="0" y="180022"/>
              </a:lnTo>
            </a:path>
          </a:pathLst>
        </a:custGeom>
        <a:noFill/>
        <a:ln w="1270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sp>
    <dsp:sp modelId="{7B8EC359-1DC9-40A7-BE23-29B312694D6D}">
      <dsp:nvSpPr>
        <dsp:cNvPr id="0" name=""/>
        <dsp:cNvSpPr/>
      </dsp:nvSpPr>
      <dsp:spPr>
        <a:xfrm>
          <a:off x="1964531" y="335041"/>
          <a:ext cx="571499" cy="571499"/>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9F781E3E-3DC2-4767-882E-70745A7F3EC5}">
      <dsp:nvSpPr>
        <dsp:cNvPr id="0" name=""/>
        <dsp:cNvSpPr/>
      </dsp:nvSpPr>
      <dsp:spPr>
        <a:xfrm>
          <a:off x="2536031" y="333613"/>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536031" y="333613"/>
        <a:ext cx="857250" cy="571499"/>
      </dsp:txXfrm>
    </dsp:sp>
    <dsp:sp modelId="{BA7709C3-4A7D-4077-B8D4-23D52909BE2B}">
      <dsp:nvSpPr>
        <dsp:cNvPr id="0" name=""/>
        <dsp:cNvSpPr/>
      </dsp:nvSpPr>
      <dsp:spPr>
        <a:xfrm>
          <a:off x="785812" y="1086564"/>
          <a:ext cx="571499" cy="571499"/>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41289680-632B-42A4-BCE5-4C20A233DA89}">
      <dsp:nvSpPr>
        <dsp:cNvPr id="0" name=""/>
        <dsp:cNvSpPr/>
      </dsp:nvSpPr>
      <dsp:spPr>
        <a:xfrm>
          <a:off x="1357312"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1357312" y="1085135"/>
        <a:ext cx="857250" cy="571499"/>
      </dsp:txXfrm>
    </dsp:sp>
    <dsp:sp modelId="{D5E7A8B0-6A3A-4D79-A0D2-3741B750C434}">
      <dsp:nvSpPr>
        <dsp:cNvPr id="0" name=""/>
        <dsp:cNvSpPr/>
      </dsp:nvSpPr>
      <dsp:spPr>
        <a:xfrm>
          <a:off x="0" y="1838086"/>
          <a:ext cx="571499" cy="571499"/>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C7C737C7-06D8-49B6-8471-838B1324602B}">
      <dsp:nvSpPr>
        <dsp:cNvPr id="0" name=""/>
        <dsp:cNvSpPr/>
      </dsp:nvSpPr>
      <dsp:spPr>
        <a:xfrm>
          <a:off x="571499"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571499" y="1836658"/>
        <a:ext cx="857250" cy="571499"/>
      </dsp:txXfrm>
    </dsp:sp>
    <dsp:sp modelId="{B723AF5F-FDBC-4CAD-B15D-2D38F9A0770C}">
      <dsp:nvSpPr>
        <dsp:cNvPr id="0" name=""/>
        <dsp:cNvSpPr/>
      </dsp:nvSpPr>
      <dsp:spPr>
        <a:xfrm>
          <a:off x="1571624" y="1838086"/>
          <a:ext cx="571499" cy="571499"/>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6A8A9762-97A0-4179-96E8-58A267043AA7}">
      <dsp:nvSpPr>
        <dsp:cNvPr id="0" name=""/>
        <dsp:cNvSpPr/>
      </dsp:nvSpPr>
      <dsp:spPr>
        <a:xfrm>
          <a:off x="2143125"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143125" y="1836658"/>
        <a:ext cx="857250" cy="571499"/>
      </dsp:txXfrm>
    </dsp:sp>
    <dsp:sp modelId="{0E01F25D-3137-42B4-8BD4-03972C203C14}">
      <dsp:nvSpPr>
        <dsp:cNvPr id="0" name=""/>
        <dsp:cNvSpPr/>
      </dsp:nvSpPr>
      <dsp:spPr>
        <a:xfrm>
          <a:off x="3143250" y="1086564"/>
          <a:ext cx="571499" cy="571499"/>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0060D829-33CC-4C76-8842-21284DEF264C}">
      <dsp:nvSpPr>
        <dsp:cNvPr id="0" name=""/>
        <dsp:cNvSpPr/>
      </dsp:nvSpPr>
      <dsp:spPr>
        <a:xfrm>
          <a:off x="3714750"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085135"/>
        <a:ext cx="857250" cy="571499"/>
      </dsp:txXfrm>
    </dsp:sp>
    <dsp:sp modelId="{62585ED3-DD1F-468F-8727-16492DB18598}">
      <dsp:nvSpPr>
        <dsp:cNvPr id="0" name=""/>
        <dsp:cNvSpPr/>
      </dsp:nvSpPr>
      <dsp:spPr>
        <a:xfrm>
          <a:off x="3143250" y="1838086"/>
          <a:ext cx="571499" cy="571499"/>
        </a:xfrm>
        <a:prstGeom prst="ellipse">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sp>
    <dsp:sp modelId="{A04719F1-4AB0-48E7-B90A-7127CA78C5DA}">
      <dsp:nvSpPr>
        <dsp:cNvPr id="0" name=""/>
        <dsp:cNvSpPr/>
      </dsp:nvSpPr>
      <dsp:spPr>
        <a:xfrm>
          <a:off x="3714750"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836658"/>
        <a:ext cx="857250" cy="571499"/>
      </dsp:txXfrm>
    </dsp:sp>
  </dsp:spTree>
</dsp:drawing>
</file>

<file path=xl/diagrams/layout1.xml><?xml version="1.0" encoding="utf-8"?>
<dgm:layoutDef xmlns:dgm="http://schemas.openxmlformats.org/drawingml/2006/diagram" xmlns:a="http://schemas.openxmlformats.org/drawingml/2006/main" uniqueId="urn:microsoft.com/office/officeart/2009/layout/CirclePictureHierarchy">
  <dgm:title val=""/>
  <dgm:desc val=""/>
  <dgm:catLst>
    <dgm:cat type="hierarchy" pri="1750"/>
    <dgm:cat type="picture" pri="23000"/>
    <dgm:cat type="pictureconvert" pri="23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5"/>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h" for="ch" forName="image" refType="h" fact="0.8"/>
              <dgm:constr type="w" for="ch" forName="image" refType="h" refFor="ch" refForName="image"/>
              <dgm:constr type="t" for="ch" forName="image" refType="h" fact="0.1"/>
              <dgm:constr type="l" for="ch" forName="image"/>
              <dgm:constr type="w" for="ch" forName="text" refType="w" fact="0.6"/>
              <dgm:constr type="h" for="ch" forName="text" refType="h" fact="0.8"/>
              <dgm:constr type="t" for="ch" forName="text" refType="w" fact="0.04"/>
              <dgm:constr type="l" for="ch" forName="text" refType="w" fact="0.4"/>
            </dgm:constrLst>
            <dgm:ruleLst/>
            <dgm:layoutNode name="image" styleLbl="node0">
              <dgm:alg type="sp"/>
              <dgm:shape xmlns:r="http://schemas.openxmlformats.org/officeDocument/2006/relationships" type="ellipse" r:blip="" blipPhldr="1">
                <dgm:adjLst/>
              </dgm:shape>
              <dgm:presOf/>
              <dgm:constrLst/>
              <dgm:ruleLst/>
            </dgm:layoutNode>
            <dgm:layoutNode name="text"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image"/>
                    <dgm:param type="dstNode" val="image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h" for="ch" forName="image2" refType="h" fact="0.8"/>
                      <dgm:constr type="w" for="ch" forName="image2" refType="h" refFor="ch" refForName="image2"/>
                      <dgm:constr type="t" for="ch" forName="image2" refType="h" fact="0.1"/>
                      <dgm:constr type="l" for="ch" forName="image2"/>
                      <dgm:constr type="w" for="ch" forName="text2" refType="w" fact="0.6"/>
                      <dgm:constr type="h" for="ch" forName="text2" refType="h" fact="0.8"/>
                      <dgm:constr type="t" for="ch" forName="text2" refType="w" fact="0.04"/>
                      <dgm:constr type="l" for="ch" forName="text2" refType="w" fact="0.4"/>
                    </dgm:constrLst>
                    <dgm:ruleLst/>
                    <dgm:layoutNode name="image2">
                      <dgm:alg type="sp"/>
                      <dgm:shape xmlns:r="http://schemas.openxmlformats.org/officeDocument/2006/relationships" type="ellipse" r:blip="" blipPhldr="1">
                        <dgm:adjLst/>
                      </dgm:shape>
                      <dgm:presOf/>
                      <dgm:constrLst/>
                      <dgm:ruleLst/>
                    </dgm:layoutNode>
                    <dgm:layoutNode name="text2"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image2"/>
                            <dgm:param type="dstNode" val="image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h" for="ch" forName="image3" refType="h" fact="0.8"/>
                              <dgm:constr type="w" for="ch" forName="image3" refType="h" refFor="ch" refForName="image3"/>
                              <dgm:constr type="t" for="ch" forName="image3" refType="h" fact="0.1"/>
                              <dgm:constr type="l" for="ch" forName="image3"/>
                              <dgm:constr type="w" for="ch" forName="text3" refType="w" fact="0.6"/>
                              <dgm:constr type="h" for="ch" forName="text3" refType="h" fact="0.8"/>
                              <dgm:constr type="t" for="ch" forName="text3" refType="w" fact="0.04"/>
                              <dgm:constr type="l" for="ch" forName="text3" refType="w" fact="0.4"/>
                            </dgm:constrLst>
                            <dgm:ruleLst/>
                            <dgm:layoutNode name="image3">
                              <dgm:alg type="sp"/>
                              <dgm:shape xmlns:r="http://schemas.openxmlformats.org/officeDocument/2006/relationships" type="ellipse" r:blip="" blipPhldr="1">
                                <dgm:adjLst/>
                              </dgm:shape>
                              <dgm:presOf/>
                              <dgm:constrLst/>
                              <dgm:ruleLst/>
                            </dgm:layoutNode>
                            <dgm:layoutNode name="text3"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image3"/>
                                        <dgm:param type="dstNode" val="image4"/>
                                      </dgm:alg>
                                    </dgm:if>
                                    <dgm:else name="Name26">
                                      <dgm:alg type="conn">
                                        <dgm:param type="dim" val="1D"/>
                                        <dgm:param type="endSty" val="noArr"/>
                                        <dgm:param type="connRout" val="bend"/>
                                        <dgm:param type="bendPt" val="end"/>
                                        <dgm:param type="begPts" val="bCtr"/>
                                        <dgm:param type="endPts" val="tCtr"/>
                                        <dgm:param type="srcNode" val="image4"/>
                                        <dgm:param type="dstNode" val="image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h" for="ch" forName="image4" refType="h" fact="0.8"/>
                                      <dgm:constr type="w" for="ch" forName="image4" refType="h" refFor="ch" refForName="image4"/>
                                      <dgm:constr type="t" for="ch" forName="image4" refType="h" fact="0.1"/>
                                      <dgm:constr type="l" for="ch" forName="image4"/>
                                      <dgm:constr type="w" for="ch" forName="text4" refType="w" fact="0.6"/>
                                      <dgm:constr type="h" for="ch" forName="text4" refType="h" fact="0.8"/>
                                      <dgm:constr type="t" for="ch" forName="text4" refType="w" fact="0.04"/>
                                      <dgm:constr type="l" for="ch" forName="text4" refType="w" fact="0.4"/>
                                    </dgm:constrLst>
                                    <dgm:ruleLst/>
                                    <dgm:layoutNode name="image4">
                                      <dgm:alg type="sp"/>
                                      <dgm:shape xmlns:r="http://schemas.openxmlformats.org/officeDocument/2006/relationships" type="ellipse" r:blip="" blipPhldr="1">
                                        <dgm:adjLst/>
                                      </dgm:shape>
                                      <dgm:presOf/>
                                      <dgm:constrLst/>
                                      <dgm:ruleLst/>
                                    </dgm:layoutNode>
                                    <dgm:layoutNode name="text4"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image" Target="../media/image4.jpeg"/><Relationship Id="rId5" Type="http://schemas.openxmlformats.org/officeDocument/2006/relationships/image" Target="../media/image8.emf"/><Relationship Id="rId4" Type="http://schemas.openxmlformats.org/officeDocument/2006/relationships/image" Target="../media/image7.emf"/></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4.jpeg"/></Relationships>
</file>

<file path=xl/drawings/_rels/drawing6.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1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21</xdr:col>
      <xdr:colOff>84275</xdr:colOff>
      <xdr:row>56</xdr:row>
      <xdr:rowOff>166070</xdr:rowOff>
    </xdr:to>
    <xdr:grpSp>
      <xdr:nvGrpSpPr>
        <xdr:cNvPr id="2" name="Group 1"/>
        <xdr:cNvGrpSpPr/>
      </xdr:nvGrpSpPr>
      <xdr:grpSpPr>
        <a:xfrm>
          <a:off x="0" y="0"/>
          <a:ext cx="16086275" cy="9864252"/>
          <a:chOff x="48491" y="51954"/>
          <a:chExt cx="16372025" cy="10144486"/>
        </a:xfrm>
      </xdr:grpSpPr>
      <xdr:grpSp>
        <xdr:nvGrpSpPr>
          <xdr:cNvPr id="3" name="Group 2"/>
          <xdr:cNvGrpSpPr/>
        </xdr:nvGrpSpPr>
        <xdr:grpSpPr>
          <a:xfrm>
            <a:off x="48491" y="51954"/>
            <a:ext cx="16372025" cy="10144486"/>
            <a:chOff x="0" y="370644"/>
            <a:chExt cx="17134608" cy="9783930"/>
          </a:xfrm>
        </xdr:grpSpPr>
        <xdr:grpSp>
          <xdr:nvGrpSpPr>
            <xdr:cNvPr id="5" name="Group 4"/>
            <xdr:cNvGrpSpPr/>
          </xdr:nvGrpSpPr>
          <xdr:grpSpPr>
            <a:xfrm>
              <a:off x="0" y="370644"/>
              <a:ext cx="17116598" cy="9783930"/>
              <a:chOff x="0" y="370644"/>
              <a:chExt cx="17116598" cy="9783930"/>
            </a:xfrm>
          </xdr:grpSpPr>
          <xdr:sp macro="" textlink="">
            <xdr:nvSpPr>
              <xdr:cNvPr id="7" name="Rectangle 6">
                <a:extLst>
                  <a:ext uri="{FF2B5EF4-FFF2-40B4-BE49-F238E27FC236}">
                    <a16:creationId xmlns:a16="http://schemas.microsoft.com/office/drawing/2014/main" id="{00000000-0008-0000-2000-000002000000}"/>
                  </a:ext>
                </a:extLst>
              </xdr:cNvPr>
              <xdr:cNvSpPr/>
            </xdr:nvSpPr>
            <xdr:spPr>
              <a:xfrm>
                <a:off x="0" y="370644"/>
                <a:ext cx="17116598" cy="9783930"/>
              </a:xfrm>
              <a:prstGeom prst="rect">
                <a:avLst/>
              </a:prstGeom>
              <a:solidFill>
                <a:srgbClr val="0098DB"/>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US"/>
              </a:p>
            </xdr:txBody>
          </xdr:sp>
          <xdr:pic>
            <xdr:nvPicPr>
              <xdr:cNvPr id="8" name="Picture 7" descr="esa.png">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09762" y="940359"/>
                <a:ext cx="3349469" cy="1238617"/>
              </a:xfrm>
              <a:prstGeom prst="rect">
                <a:avLst/>
              </a:prstGeom>
            </xdr:spPr>
          </xdr:pic>
          <xdr:grpSp>
            <xdr:nvGrpSpPr>
              <xdr:cNvPr id="9" name="Group 8"/>
              <xdr:cNvGrpSpPr>
                <a:grpSpLocks noChangeAspect="1"/>
              </xdr:cNvGrpSpPr>
            </xdr:nvGrpSpPr>
            <xdr:grpSpPr>
              <a:xfrm>
                <a:off x="1200726" y="802517"/>
                <a:ext cx="2937929" cy="1524000"/>
                <a:chOff x="9020175" y="9034207"/>
                <a:chExt cx="1526176" cy="972344"/>
              </a:xfrm>
            </xdr:grpSpPr>
            <xdr:sp macro="" textlink="">
              <xdr:nvSpPr>
                <xdr:cNvPr id="11" name="Rectangle 10"/>
                <xdr:cNvSpPr/>
              </xdr:nvSpPr>
              <xdr:spPr>
                <a:xfrm>
                  <a:off x="9020175" y="9034207"/>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12" name="Picture 11" descr="CDF Logo.png"/>
                <xdr:cNvPicPr>
                  <a:picLocks noChangeAspect="1"/>
                </xdr:cNvPicPr>
              </xdr:nvPicPr>
              <xdr:blipFill>
                <a:blip xmlns:r="http://schemas.openxmlformats.org/officeDocument/2006/relationships" r:embed="rId2" cstate="print"/>
                <a:stretch>
                  <a:fillRect/>
                </a:stretch>
              </xdr:blipFill>
              <xdr:spPr>
                <a:xfrm>
                  <a:off x="9097001" y="9081833"/>
                  <a:ext cx="1449350" cy="890649"/>
                </a:xfrm>
                <a:prstGeom prst="rect">
                  <a:avLst/>
                </a:prstGeom>
              </xdr:spPr>
            </xdr:pic>
          </xdr:grpSp>
          <xdr:pic>
            <xdr:nvPicPr>
              <xdr:cNvPr id="10" name="Picture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805686" y="8685579"/>
                <a:ext cx="2368019" cy="1062812"/>
              </a:xfrm>
              <a:prstGeom prst="rect">
                <a:avLst/>
              </a:prstGeom>
            </xdr:spPr>
          </xdr:pic>
        </xdr:grpSp>
        <xdr:sp macro="" textlink="">
          <xdr:nvSpPr>
            <xdr:cNvPr id="6" name="TextBox 7">
              <a:extLst>
                <a:ext uri="{FF2B5EF4-FFF2-40B4-BE49-F238E27FC236}">
                  <a16:creationId xmlns:a16="http://schemas.microsoft.com/office/drawing/2014/main" id="{00000000-0008-0000-2000-000006000000}"/>
                </a:ext>
              </a:extLst>
            </xdr:cNvPr>
            <xdr:cNvSpPr txBox="1"/>
          </xdr:nvSpPr>
          <xdr:spPr>
            <a:xfrm>
              <a:off x="18010" y="1392624"/>
              <a:ext cx="17116598" cy="7439392"/>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Academy's</a:t>
              </a:r>
              <a:br>
                <a:rPr lang="en-GB" sz="6600" b="1">
                  <a:solidFill>
                    <a:schemeClr val="bg1"/>
                  </a:solidFill>
                </a:rPr>
              </a:br>
              <a:r>
                <a:rPr lang="en-GB" sz="6600" b="1">
                  <a:solidFill>
                    <a:schemeClr val="bg1"/>
                  </a:solidFill>
                </a:rPr>
                <a:t>Concurrent Engineering Workshop</a:t>
              </a:r>
            </a:p>
            <a:p>
              <a:pPr algn="ctr"/>
              <a:r>
                <a:rPr lang="en-GB" sz="4800" b="1">
                  <a:solidFill>
                    <a:schemeClr val="bg1"/>
                  </a:solidFill>
                </a:rPr>
                <a:t>Calculation Sheet: Structures</a:t>
              </a:r>
            </a:p>
            <a:p>
              <a:pPr algn="ctr"/>
              <a:endParaRPr lang="en-GB" sz="4800" b="1">
                <a:solidFill>
                  <a:schemeClr val="bg1"/>
                </a:solidFill>
              </a:endParaRPr>
            </a:p>
            <a:p>
              <a:pPr algn="ctr"/>
              <a:r>
                <a:rPr lang="en-GB" sz="3600" b="1">
                  <a:solidFill>
                    <a:schemeClr val="bg1"/>
                  </a:solidFill>
                </a:rPr>
                <a:t>"The ISU/ESA calculation sheets are property of the International Space University (ISU) and European Space Agency (ESA). No part of this material may be reproduced, displayed, amended, distributed or otherwise used in any form or by any means, without written permission of ISU and ESA. Any unauthorised activity or use shall be an infringement of ISU's and ESA's intellectual property rights. ISU and ESA reserve the right to defend their rights and interests, including to seek for remedies."  </a:t>
              </a:r>
            </a:p>
            <a:p>
              <a:pPr algn="ctr"/>
              <a:endParaRPr lang="en-GB" sz="3600" b="1">
                <a:solidFill>
                  <a:schemeClr val="bg1"/>
                </a:solidFill>
              </a:endParaRPr>
            </a:p>
          </xdr:txBody>
        </xdr:sp>
      </xdr:grpSp>
      <xdr:sp macro="" textlink="">
        <xdr:nvSpPr>
          <xdr:cNvPr id="4" name="TextBox 7">
            <a:extLst>
              <a:ext uri="{FF2B5EF4-FFF2-40B4-BE49-F238E27FC236}">
                <a16:creationId xmlns:a16="http://schemas.microsoft.com/office/drawing/2014/main" id="{00000000-0008-0000-2000-000006000000}"/>
              </a:ext>
            </a:extLst>
          </xdr:cNvPr>
          <xdr:cNvSpPr txBox="1"/>
        </xdr:nvSpPr>
        <xdr:spPr>
          <a:xfrm>
            <a:off x="971549" y="8696331"/>
            <a:ext cx="12420601" cy="1047750"/>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l"/>
            <a:r>
              <a:rPr lang="en-GB" sz="3000" b="1">
                <a:solidFill>
                  <a:schemeClr val="bg1"/>
                </a:solidFill>
              </a:rPr>
              <a:t>The</a:t>
            </a:r>
            <a:r>
              <a:rPr lang="en-GB" sz="3000" b="1" baseline="0">
                <a:solidFill>
                  <a:schemeClr val="bg1"/>
                </a:solidFill>
              </a:rPr>
              <a:t> current version of this calculation sheet was improved in collaboration with the Politecnico di Torino.</a:t>
            </a:r>
            <a:endParaRPr lang="en-GB" sz="3000" b="1">
              <a:solidFill>
                <a:schemeClr val="bg1"/>
              </a:solidFill>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50800</xdr:rowOff>
    </xdr:from>
    <xdr:to>
      <xdr:col>27</xdr:col>
      <xdr:colOff>457200</xdr:colOff>
      <xdr:row>3</xdr:row>
      <xdr:rowOff>127000</xdr:rowOff>
    </xdr:to>
    <xdr:grpSp>
      <xdr:nvGrpSpPr>
        <xdr:cNvPr id="2" name="Group 1">
          <a:extLst>
            <a:ext uri="{FF2B5EF4-FFF2-40B4-BE49-F238E27FC236}">
              <a16:creationId xmlns:a16="http://schemas.microsoft.com/office/drawing/2014/main" id="{00000000-0008-0000-0200-000002000000}"/>
            </a:ext>
          </a:extLst>
        </xdr:cNvPr>
        <xdr:cNvGrpSpPr>
          <a:grpSpLocks/>
        </xdr:cNvGrpSpPr>
      </xdr:nvGrpSpPr>
      <xdr:grpSpPr bwMode="auto">
        <a:xfrm>
          <a:off x="0" y="50800"/>
          <a:ext cx="21398593" cy="566057"/>
          <a:chOff x="9524" y="0"/>
          <a:chExt cx="14117503" cy="485600"/>
        </a:xfrm>
      </xdr:grpSpPr>
      <xdr:sp macro="" textlink="">
        <xdr:nvSpPr>
          <xdr:cNvPr id="3" name="Rectangle 2">
            <a:extLst>
              <a:ext uri="{FF2B5EF4-FFF2-40B4-BE49-F238E27FC236}">
                <a16:creationId xmlns:a16="http://schemas.microsoft.com/office/drawing/2014/main" id="{00000000-0008-0000-02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900"/>
          </a:p>
        </xdr:txBody>
      </xdr:sp>
      <xdr:sp macro="" textlink="">
        <xdr:nvSpPr>
          <xdr:cNvPr id="4" name="Rectangle 3">
            <a:extLst>
              <a:ext uri="{FF2B5EF4-FFF2-40B4-BE49-F238E27FC236}">
                <a16:creationId xmlns:a16="http://schemas.microsoft.com/office/drawing/2014/main" id="{00000000-0008-0000-0200-000004000000}"/>
              </a:ext>
            </a:extLst>
          </xdr:cNvPr>
          <xdr:cNvSpPr/>
        </xdr:nvSpPr>
        <xdr:spPr>
          <a:xfrm>
            <a:off x="39552"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Structure</a:t>
            </a:r>
            <a:r>
              <a:rPr lang="en-US" sz="3200" kern="1200" baseline="0">
                <a:latin typeface="+mn-lt"/>
                <a:cs typeface="Times New Roman" pitchFamily="18" charset="0"/>
              </a:rPr>
              <a:t>- Objectives</a:t>
            </a:r>
            <a:endParaRPr lang="en-US" sz="3200" kern="1200">
              <a:latin typeface="+mn-lt"/>
              <a:cs typeface="Times New Roman" pitchFamily="18" charset="0"/>
            </a:endParaRPr>
          </a:p>
        </xdr:txBody>
      </xdr:sp>
    </xdr:grpSp>
    <xdr:clientData/>
  </xdr:twoCellAnchor>
  <xdr:twoCellAnchor>
    <xdr:from>
      <xdr:col>1</xdr:col>
      <xdr:colOff>272142</xdr:colOff>
      <xdr:row>4</xdr:row>
      <xdr:rowOff>108857</xdr:rowOff>
    </xdr:from>
    <xdr:to>
      <xdr:col>27</xdr:col>
      <xdr:colOff>362858</xdr:colOff>
      <xdr:row>36</xdr:row>
      <xdr:rowOff>99785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830942" y="769257"/>
          <a:ext cx="14619516" cy="5274128"/>
        </a:xfrm>
        <a:prstGeom prst="rect">
          <a:avLst/>
        </a:prstGeom>
        <a:solidFill>
          <a:schemeClr val="accent5">
            <a:lumMod val="20000"/>
            <a:lumOff val="80000"/>
          </a:schemeClr>
        </a:solidFill>
        <a:ln>
          <a:solidFill>
            <a:schemeClr val="accent5"/>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pPr algn="ctr"/>
          <a:r>
            <a:rPr lang="en-GB" sz="4800"/>
            <a:t>Objectives:</a:t>
          </a:r>
        </a:p>
        <a:p>
          <a:pPr algn="l"/>
          <a:r>
            <a:rPr lang="en-GB" sz="3200">
              <a:sym typeface="Wingdings 3" panose="05040102010807070707" pitchFamily="18" charset="2"/>
            </a:rPr>
            <a:t> To define the structures architecture and materials together with configuration and thermal </a:t>
          </a: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check if the structure can survive the launch ( with mission) in terms of static and dynamics loads</a:t>
          </a:r>
        </a:p>
        <a:p>
          <a:pPr marL="0" marR="0" lvl="0" indent="0" algn="l" defTabSz="914400" eaLnBrk="1" fontAlgn="auto" latinLnBrk="0" hangingPunct="1">
            <a:lnSpc>
              <a:spcPct val="100000"/>
            </a:lnSpc>
            <a:spcBef>
              <a:spcPts val="0"/>
            </a:spcBef>
            <a:spcAft>
              <a:spcPts val="0"/>
            </a:spcAft>
            <a:buClrTx/>
            <a:buSzTx/>
            <a:buFontTx/>
            <a:buNone/>
            <a:tabLst/>
            <a:defRPr/>
          </a:pPr>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rPr>
            <a:t> Advice: Use existing structures as a starting point </a:t>
          </a:r>
          <a:endParaRPr lang="en-GB" sz="3200" baseline="0">
            <a:sym typeface="Wingdings 3" panose="05040102010807070707" pitchFamily="18" charset="2"/>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a:effectLst/>
          </a:endParaRPr>
        </a:p>
        <a:p>
          <a:pPr algn="l"/>
          <a:endParaRPr lang="en-GB" sz="3200" baseline="0">
            <a:solidFill>
              <a:schemeClr val="dk1"/>
            </a:solidFill>
            <a:effectLst/>
            <a:latin typeface="+mn-lt"/>
            <a:ea typeface="+mn-ea"/>
            <a:cs typeface="+mn-cs"/>
            <a:sym typeface="Wingdings 3" panose="05040102010807070707" pitchFamily="18" charset="2"/>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81355</xdr:colOff>
      <xdr:row>25</xdr:row>
      <xdr:rowOff>29029</xdr:rowOff>
    </xdr:from>
    <xdr:to>
      <xdr:col>12</xdr:col>
      <xdr:colOff>1651000</xdr:colOff>
      <xdr:row>34</xdr:row>
      <xdr:rowOff>97098</xdr:rowOff>
    </xdr:to>
    <xdr:pic>
      <xdr:nvPicPr>
        <xdr:cNvPr id="2" name="Picture 34" descr="093_H">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263955" y="5223329"/>
          <a:ext cx="4516045" cy="2798570"/>
        </a:xfrm>
        <a:prstGeom prst="rect">
          <a:avLst/>
        </a:prstGeom>
        <a:noFill/>
        <a:ln w="31750">
          <a:noFill/>
          <a:miter lim="800000"/>
          <a:headEnd/>
          <a:tailEnd/>
        </a:ln>
      </xdr:spPr>
    </xdr:pic>
    <xdr:clientData/>
  </xdr:twoCellAnchor>
  <xdr:twoCellAnchor editAs="oneCell">
    <xdr:from>
      <xdr:col>12</xdr:col>
      <xdr:colOff>1651000</xdr:colOff>
      <xdr:row>10</xdr:row>
      <xdr:rowOff>23914</xdr:rowOff>
    </xdr:from>
    <xdr:to>
      <xdr:col>16</xdr:col>
      <xdr:colOff>576942</xdr:colOff>
      <xdr:row>40</xdr:row>
      <xdr:rowOff>223076</xdr:rowOff>
    </xdr:to>
    <xdr:pic>
      <xdr:nvPicPr>
        <xdr:cNvPr id="3" name="Picture 35" descr="SCO0988">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7780000" y="1401864"/>
          <a:ext cx="4875892" cy="8521703"/>
        </a:xfrm>
        <a:prstGeom prst="rect">
          <a:avLst/>
        </a:prstGeom>
        <a:noFill/>
        <a:ln w="31750">
          <a:noFill/>
          <a:miter lim="800000"/>
          <a:headEnd/>
          <a:tailEnd/>
        </a:ln>
      </xdr:spPr>
    </xdr:pic>
    <xdr:clientData/>
  </xdr:twoCellAnchor>
  <xdr:twoCellAnchor>
    <xdr:from>
      <xdr:col>0</xdr:col>
      <xdr:colOff>190498</xdr:colOff>
      <xdr:row>1</xdr:row>
      <xdr:rowOff>54428</xdr:rowOff>
    </xdr:from>
    <xdr:to>
      <xdr:col>16</xdr:col>
      <xdr:colOff>435429</xdr:colOff>
      <xdr:row>5</xdr:row>
      <xdr:rowOff>139473</xdr:rowOff>
    </xdr:to>
    <xdr:grpSp>
      <xdr:nvGrpSpPr>
        <xdr:cNvPr id="4" name="Group 1">
          <a:extLst>
            <a:ext uri="{FF2B5EF4-FFF2-40B4-BE49-F238E27FC236}">
              <a16:creationId xmlns:a16="http://schemas.microsoft.com/office/drawing/2014/main" id="{00000000-0008-0000-0300-000004000000}"/>
            </a:ext>
          </a:extLst>
        </xdr:cNvPr>
        <xdr:cNvGrpSpPr>
          <a:grpSpLocks/>
        </xdr:cNvGrpSpPr>
      </xdr:nvGrpSpPr>
      <xdr:grpSpPr bwMode="auto">
        <a:xfrm>
          <a:off x="190498" y="308428"/>
          <a:ext cx="22342931" cy="823954"/>
          <a:chOff x="9524" y="0"/>
          <a:chExt cx="14087475" cy="485600"/>
        </a:xfrm>
      </xdr:grpSpPr>
      <xdr:sp macro="" textlink="">
        <xdr:nvSpPr>
          <xdr:cNvPr id="5" name="Rectangle 4">
            <a:extLst>
              <a:ext uri="{FF2B5EF4-FFF2-40B4-BE49-F238E27FC236}">
                <a16:creationId xmlns:a16="http://schemas.microsoft.com/office/drawing/2014/main" id="{00000000-0008-0000-0300-000005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a:p>
        </xdr:txBody>
      </xdr:sp>
      <xdr:sp macro="" textlink="">
        <xdr:nvSpPr>
          <xdr:cNvPr id="6" name="Rectangle 5">
            <a:extLst>
              <a:ext uri="{FF2B5EF4-FFF2-40B4-BE49-F238E27FC236}">
                <a16:creationId xmlns:a16="http://schemas.microsoft.com/office/drawing/2014/main" id="{00000000-0008-0000-0300-000006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5000" kern="1200">
                <a:latin typeface="+mn-lt"/>
                <a:cs typeface="Times New Roman" pitchFamily="18" charset="0"/>
              </a:rPr>
              <a:t>Structure - </a:t>
            </a:r>
            <a:r>
              <a:rPr lang="en-US" sz="4000" kern="1200">
                <a:latin typeface="+mn-lt"/>
                <a:cs typeface="Times New Roman" pitchFamily="18" charset="0"/>
              </a:rPr>
              <a:t>General Inputs</a:t>
            </a:r>
          </a:p>
        </xdr:txBody>
      </xdr:sp>
    </xdr:grpSp>
    <xdr:clientData/>
  </xdr:twoCellAnchor>
  <xdr:twoCellAnchor editAs="oneCell">
    <xdr:from>
      <xdr:col>0</xdr:col>
      <xdr:colOff>244928</xdr:colOff>
      <xdr:row>1</xdr:row>
      <xdr:rowOff>98652</xdr:rowOff>
    </xdr:from>
    <xdr:to>
      <xdr:col>2</xdr:col>
      <xdr:colOff>839915</xdr:colOff>
      <xdr:row>5</xdr:row>
      <xdr:rowOff>71749</xdr:rowOff>
    </xdr:to>
    <xdr:pic>
      <xdr:nvPicPr>
        <xdr:cNvPr id="7" name="Picture 399">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3" cstate="print"/>
        <a:srcRect l="6927" t="12587" r="6927" b="15901"/>
        <a:stretch>
          <a:fillRect/>
        </a:stretch>
      </xdr:blipFill>
      <xdr:spPr bwMode="auto">
        <a:xfrm>
          <a:off x="244928" y="352652"/>
          <a:ext cx="1769737" cy="703347"/>
        </a:xfrm>
        <a:prstGeom prst="rect">
          <a:avLst/>
        </a:prstGeom>
        <a:solidFill>
          <a:srgbClr val="FFFFFF"/>
        </a:solidFill>
        <a:ln w="9525">
          <a:noFill/>
          <a:round/>
          <a:headEnd/>
          <a:tailEnd/>
        </a:ln>
      </xdr:spPr>
    </xdr:pic>
    <xdr:clientData/>
  </xdr:twoCellAnchor>
  <xdr:twoCellAnchor>
    <xdr:from>
      <xdr:col>10</xdr:col>
      <xdr:colOff>86589</xdr:colOff>
      <xdr:row>6</xdr:row>
      <xdr:rowOff>206171</xdr:rowOff>
    </xdr:from>
    <xdr:to>
      <xdr:col>12</xdr:col>
      <xdr:colOff>1700481</xdr:colOff>
      <xdr:row>24</xdr:row>
      <xdr:rowOff>231940</xdr:rowOff>
    </xdr:to>
    <xdr:pic>
      <xdr:nvPicPr>
        <xdr:cNvPr id="8" name="Immagine 1">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269189" y="1349171"/>
          <a:ext cx="4560292" cy="38230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19685</xdr:colOff>
      <xdr:row>13</xdr:row>
      <xdr:rowOff>96897</xdr:rowOff>
    </xdr:from>
    <xdr:to>
      <xdr:col>10</xdr:col>
      <xdr:colOff>21219</xdr:colOff>
      <xdr:row>22</xdr:row>
      <xdr:rowOff>80818</xdr:rowOff>
    </xdr:to>
    <xdr:pic>
      <xdr:nvPicPr>
        <xdr:cNvPr id="9" name="Immagine 3">
          <a:extLst>
            <a:ext uri="{FF2B5EF4-FFF2-40B4-BE49-F238E27FC236}">
              <a16:creationId xmlns:a16="http://schemas.microsoft.com/office/drawing/2014/main" id="{00000000-0008-0000-0300-000009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420735" y="2338447"/>
          <a:ext cx="4783084" cy="22127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605933</xdr:colOff>
      <xdr:row>40</xdr:row>
      <xdr:rowOff>206830</xdr:rowOff>
    </xdr:from>
    <xdr:to>
      <xdr:col>4</xdr:col>
      <xdr:colOff>1147535</xdr:colOff>
      <xdr:row>56</xdr:row>
      <xdr:rowOff>13609</xdr:rowOff>
    </xdr:to>
    <xdr:pic>
      <xdr:nvPicPr>
        <xdr:cNvPr id="2" name="Picture 75">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5933" y="9700080"/>
          <a:ext cx="6072452" cy="3794580"/>
        </a:xfrm>
        <a:prstGeom prst="rect">
          <a:avLst/>
        </a:prstGeom>
        <a:noFill/>
        <a:ln w="25400">
          <a:noFill/>
          <a:miter lim="800000"/>
          <a:headEnd/>
          <a:tailEnd/>
        </a:ln>
        <a:effectLst/>
      </xdr:spPr>
    </xdr:pic>
    <xdr:clientData/>
  </xdr:twoCellAnchor>
  <xdr:twoCellAnchor>
    <xdr:from>
      <xdr:col>0</xdr:col>
      <xdr:colOff>176890</xdr:colOff>
      <xdr:row>1</xdr:row>
      <xdr:rowOff>76489</xdr:rowOff>
    </xdr:from>
    <xdr:to>
      <xdr:col>18</xdr:col>
      <xdr:colOff>462642</xdr:colOff>
      <xdr:row>5</xdr:row>
      <xdr:rowOff>158648</xdr:rowOff>
    </xdr:to>
    <xdr:grpSp>
      <xdr:nvGrpSpPr>
        <xdr:cNvPr id="3" name="Group 1">
          <a:extLst>
            <a:ext uri="{FF2B5EF4-FFF2-40B4-BE49-F238E27FC236}">
              <a16:creationId xmlns:a16="http://schemas.microsoft.com/office/drawing/2014/main" id="{00000000-0008-0000-0400-000003000000}"/>
            </a:ext>
          </a:extLst>
        </xdr:cNvPr>
        <xdr:cNvGrpSpPr>
          <a:grpSpLocks/>
        </xdr:cNvGrpSpPr>
      </xdr:nvGrpSpPr>
      <xdr:grpSpPr bwMode="auto">
        <a:xfrm>
          <a:off x="176890" y="324139"/>
          <a:ext cx="26155652" cy="806059"/>
          <a:chOff x="9524" y="0"/>
          <a:chExt cx="14087475" cy="485600"/>
        </a:xfrm>
      </xdr:grpSpPr>
      <xdr:sp macro="" textlink="">
        <xdr:nvSpPr>
          <xdr:cNvPr id="4" name="Rectangle 3">
            <a:extLst>
              <a:ext uri="{FF2B5EF4-FFF2-40B4-BE49-F238E27FC236}">
                <a16:creationId xmlns:a16="http://schemas.microsoft.com/office/drawing/2014/main" id="{00000000-0008-0000-0400-000004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a:p>
        </xdr:txBody>
      </xdr:sp>
      <xdr:sp macro="" textlink="">
        <xdr:nvSpPr>
          <xdr:cNvPr id="5" name="Rectangle 4">
            <a:extLst>
              <a:ext uri="{FF2B5EF4-FFF2-40B4-BE49-F238E27FC236}">
                <a16:creationId xmlns:a16="http://schemas.microsoft.com/office/drawing/2014/main" id="{00000000-0008-0000-0400-000005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4700" kern="1200">
                <a:latin typeface="+mn-lt"/>
                <a:cs typeface="Times New Roman" pitchFamily="18" charset="0"/>
              </a:rPr>
              <a:t>Structure</a:t>
            </a:r>
            <a:r>
              <a:rPr lang="en-US" sz="5000" kern="1200">
                <a:latin typeface="+mn-lt"/>
                <a:cs typeface="Times New Roman" pitchFamily="18" charset="0"/>
              </a:rPr>
              <a:t> - </a:t>
            </a:r>
            <a:r>
              <a:rPr lang="en-US" sz="4000" kern="1200">
                <a:latin typeface="+mn-lt"/>
                <a:cs typeface="Times New Roman" pitchFamily="18" charset="0"/>
              </a:rPr>
              <a:t>Cylinder</a:t>
            </a:r>
          </a:p>
        </xdr:txBody>
      </xdr:sp>
    </xdr:grpSp>
    <xdr:clientData/>
  </xdr:twoCellAnchor>
  <xdr:twoCellAnchor editAs="oneCell">
    <xdr:from>
      <xdr:col>0</xdr:col>
      <xdr:colOff>267609</xdr:colOff>
      <xdr:row>1</xdr:row>
      <xdr:rowOff>116797</xdr:rowOff>
    </xdr:from>
    <xdr:to>
      <xdr:col>2</xdr:col>
      <xdr:colOff>660550</xdr:colOff>
      <xdr:row>5</xdr:row>
      <xdr:rowOff>74019</xdr:rowOff>
    </xdr:to>
    <xdr:pic>
      <xdr:nvPicPr>
        <xdr:cNvPr id="6" name="Picture 399">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2" cstate="print"/>
        <a:srcRect l="6927" t="12587" r="6927" b="15901"/>
        <a:stretch>
          <a:fillRect/>
        </a:stretch>
      </xdr:blipFill>
      <xdr:spPr bwMode="auto">
        <a:xfrm>
          <a:off x="267609" y="370797"/>
          <a:ext cx="1789941" cy="706522"/>
        </a:xfrm>
        <a:prstGeom prst="rect">
          <a:avLst/>
        </a:prstGeom>
        <a:solidFill>
          <a:srgbClr val="FFFFFF"/>
        </a:solidFill>
        <a:ln w="9525">
          <a:noFill/>
          <a:round/>
          <a:headEnd/>
          <a:tailEnd/>
        </a:ln>
      </xdr:spPr>
    </xdr:pic>
    <xdr:clientData/>
  </xdr:twoCellAnchor>
  <mc:AlternateContent xmlns:mc="http://schemas.openxmlformats.org/markup-compatibility/2006">
    <mc:Choice xmlns:a14="http://schemas.microsoft.com/office/drawing/2010/main" Requires="a14">
      <xdr:twoCellAnchor>
        <xdr:from>
          <xdr:col>8</xdr:col>
          <xdr:colOff>685800</xdr:colOff>
          <xdr:row>53</xdr:row>
          <xdr:rowOff>251460</xdr:rowOff>
        </xdr:from>
        <xdr:to>
          <xdr:col>8</xdr:col>
          <xdr:colOff>1516380</xdr:colOff>
          <xdr:row>55</xdr:row>
          <xdr:rowOff>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900" b="0" i="0" u="none" strike="noStrike" baseline="0">
                  <a:solidFill>
                    <a:srgbClr val="000000"/>
                  </a:solidFill>
                  <a:latin typeface="Times New Roman"/>
                  <a:cs typeface="Times New Roman"/>
                </a:rPr>
                <a:t>Set to zero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365760</xdr:colOff>
          <xdr:row>42</xdr:row>
          <xdr:rowOff>30480</xdr:rowOff>
        </xdr:from>
        <xdr:to>
          <xdr:col>19</xdr:col>
          <xdr:colOff>297180</xdr:colOff>
          <xdr:row>61</xdr:row>
          <xdr:rowOff>106680</xdr:rowOff>
        </xdr:to>
        <xdr:sp macro="" textlink="">
          <xdr:nvSpPr>
            <xdr:cNvPr id="11266" name="Object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464820</xdr:colOff>
          <xdr:row>12</xdr:row>
          <xdr:rowOff>160020</xdr:rowOff>
        </xdr:from>
        <xdr:to>
          <xdr:col>17</xdr:col>
          <xdr:colOff>998220</xdr:colOff>
          <xdr:row>27</xdr:row>
          <xdr:rowOff>220980</xdr:rowOff>
        </xdr:to>
        <xdr:sp macro="" textlink="">
          <xdr:nvSpPr>
            <xdr:cNvPr id="11267" name="Object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4343400</xdr:colOff>
          <xdr:row>37</xdr:row>
          <xdr:rowOff>22860</xdr:rowOff>
        </xdr:from>
        <xdr:to>
          <xdr:col>8</xdr:col>
          <xdr:colOff>457200</xdr:colOff>
          <xdr:row>37</xdr:row>
          <xdr:rowOff>182880</xdr:rowOff>
        </xdr:to>
        <xdr:sp macro="" textlink="">
          <xdr:nvSpPr>
            <xdr:cNvPr id="11268" name="Button 4" hidden="1">
              <a:extLst>
                <a:ext uri="{63B3BB69-23CF-44E3-9099-C40C66FF867C}">
                  <a14:compatExt spid="_x0000_s11268"/>
                </a:ext>
                <a:ext uri="{FF2B5EF4-FFF2-40B4-BE49-F238E27FC236}">
                  <a16:creationId xmlns:a16="http://schemas.microsoft.com/office/drawing/2014/main" id="{00000000-0008-0000-0400-000004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900" b="0" i="0" u="none" strike="noStrike" baseline="0">
                  <a:solidFill>
                    <a:srgbClr val="000000"/>
                  </a:solidFill>
                  <a:latin typeface="Times New Roman"/>
                  <a:cs typeface="Times New Roman"/>
                </a:rPr>
                <a:t>Set to value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4351020</xdr:colOff>
          <xdr:row>37</xdr:row>
          <xdr:rowOff>198120</xdr:rowOff>
        </xdr:from>
        <xdr:to>
          <xdr:col>8</xdr:col>
          <xdr:colOff>457200</xdr:colOff>
          <xdr:row>38</xdr:row>
          <xdr:rowOff>182880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400-000005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900" b="0" i="0" u="none" strike="noStrike" baseline="0">
                  <a:solidFill>
                    <a:srgbClr val="000000"/>
                  </a:solidFill>
                  <a:latin typeface="Times New Roman"/>
                  <a:cs typeface="Times New Roman"/>
                </a:rPr>
                <a:t>Set to value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617220</xdr:colOff>
          <xdr:row>38</xdr:row>
          <xdr:rowOff>7620</xdr:rowOff>
        </xdr:from>
        <xdr:to>
          <xdr:col>4</xdr:col>
          <xdr:colOff>152400</xdr:colOff>
          <xdr:row>39</xdr:row>
          <xdr:rowOff>7620</xdr:rowOff>
        </xdr:to>
        <xdr:sp macro="" textlink="">
          <xdr:nvSpPr>
            <xdr:cNvPr id="11270" name="Button 6" hidden="1">
              <a:extLst>
                <a:ext uri="{63B3BB69-23CF-44E3-9099-C40C66FF867C}">
                  <a14:compatExt spid="_x0000_s11270"/>
                </a:ext>
                <a:ext uri="{FF2B5EF4-FFF2-40B4-BE49-F238E27FC236}">
                  <a16:creationId xmlns:a16="http://schemas.microsoft.com/office/drawing/2014/main" id="{00000000-0008-0000-0400-000006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900" b="0" i="0" u="none" strike="noStrike" baseline="0">
                  <a:solidFill>
                    <a:srgbClr val="000000"/>
                  </a:solidFill>
                  <a:latin typeface="Times New Roman"/>
                  <a:cs typeface="Times New Roman"/>
                </a:rPr>
                <a:t>Set to zero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617220</xdr:colOff>
          <xdr:row>39</xdr:row>
          <xdr:rowOff>60960</xdr:rowOff>
        </xdr:from>
        <xdr:to>
          <xdr:col>4</xdr:col>
          <xdr:colOff>144780</xdr:colOff>
          <xdr:row>39</xdr:row>
          <xdr:rowOff>274320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400-000007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900" b="0" i="0" u="none" strike="noStrike" baseline="0">
                  <a:solidFill>
                    <a:srgbClr val="000000"/>
                  </a:solidFill>
                  <a:latin typeface="Times New Roman"/>
                  <a:cs typeface="Times New Roman"/>
                </a:rPr>
                <a:t>Set to zero</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607681</xdr:colOff>
      <xdr:row>54</xdr:row>
      <xdr:rowOff>220805</xdr:rowOff>
    </xdr:from>
    <xdr:to>
      <xdr:col>4</xdr:col>
      <xdr:colOff>1317521</xdr:colOff>
      <xdr:row>72</xdr:row>
      <xdr:rowOff>17316</xdr:rowOff>
    </xdr:to>
    <xdr:pic>
      <xdr:nvPicPr>
        <xdr:cNvPr id="2" name="Picture 43">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7681" y="12787455"/>
          <a:ext cx="6227990" cy="4597112"/>
        </a:xfrm>
        <a:prstGeom prst="rect">
          <a:avLst/>
        </a:prstGeom>
        <a:noFill/>
        <a:ln w="31750">
          <a:noFill/>
          <a:miter lim="800000"/>
          <a:headEnd/>
          <a:tailEnd/>
        </a:ln>
        <a:effectLst/>
      </xdr:spPr>
    </xdr:pic>
    <xdr:clientData/>
  </xdr:twoCellAnchor>
  <xdr:twoCellAnchor>
    <xdr:from>
      <xdr:col>0</xdr:col>
      <xdr:colOff>136072</xdr:colOff>
      <xdr:row>1</xdr:row>
      <xdr:rowOff>54430</xdr:rowOff>
    </xdr:from>
    <xdr:to>
      <xdr:col>20</xdr:col>
      <xdr:colOff>462643</xdr:colOff>
      <xdr:row>5</xdr:row>
      <xdr:rowOff>139475</xdr:rowOff>
    </xdr:to>
    <xdr:grpSp>
      <xdr:nvGrpSpPr>
        <xdr:cNvPr id="3" name="Group 1">
          <a:extLst>
            <a:ext uri="{FF2B5EF4-FFF2-40B4-BE49-F238E27FC236}">
              <a16:creationId xmlns:a16="http://schemas.microsoft.com/office/drawing/2014/main" id="{00000000-0008-0000-0500-000003000000}"/>
            </a:ext>
          </a:extLst>
        </xdr:cNvPr>
        <xdr:cNvGrpSpPr>
          <a:grpSpLocks/>
        </xdr:cNvGrpSpPr>
      </xdr:nvGrpSpPr>
      <xdr:grpSpPr bwMode="auto">
        <a:xfrm>
          <a:off x="136072" y="308430"/>
          <a:ext cx="30021480" cy="823954"/>
          <a:chOff x="9524" y="0"/>
          <a:chExt cx="14087475" cy="485600"/>
        </a:xfrm>
      </xdr:grpSpPr>
      <xdr:sp macro="" textlink="">
        <xdr:nvSpPr>
          <xdr:cNvPr id="4" name="Rectangle 3">
            <a:extLst>
              <a:ext uri="{FF2B5EF4-FFF2-40B4-BE49-F238E27FC236}">
                <a16:creationId xmlns:a16="http://schemas.microsoft.com/office/drawing/2014/main" id="{00000000-0008-0000-0500-000004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a:p>
        </xdr:txBody>
      </xdr:sp>
      <xdr:sp macro="" textlink="">
        <xdr:nvSpPr>
          <xdr:cNvPr id="5" name="Rectangle 4">
            <a:extLst>
              <a:ext uri="{FF2B5EF4-FFF2-40B4-BE49-F238E27FC236}">
                <a16:creationId xmlns:a16="http://schemas.microsoft.com/office/drawing/2014/main" id="{00000000-0008-0000-0500-000005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4700" kern="1200">
                <a:latin typeface="+mn-lt"/>
                <a:cs typeface="Times New Roman" pitchFamily="18" charset="0"/>
              </a:rPr>
              <a:t>Structure</a:t>
            </a:r>
            <a:r>
              <a:rPr lang="en-US" sz="5000" kern="1200">
                <a:latin typeface="+mn-lt"/>
                <a:cs typeface="Times New Roman" pitchFamily="18" charset="0"/>
              </a:rPr>
              <a:t> - </a:t>
            </a:r>
            <a:r>
              <a:rPr lang="en-US" sz="4000" kern="1200">
                <a:latin typeface="+mn-lt"/>
                <a:cs typeface="Times New Roman" pitchFamily="18" charset="0"/>
              </a:rPr>
              <a:t>Prism</a:t>
            </a:r>
          </a:p>
        </xdr:txBody>
      </xdr:sp>
    </xdr:grpSp>
    <xdr:clientData/>
  </xdr:twoCellAnchor>
  <xdr:twoCellAnchor editAs="oneCell">
    <xdr:from>
      <xdr:col>0</xdr:col>
      <xdr:colOff>190505</xdr:colOff>
      <xdr:row>1</xdr:row>
      <xdr:rowOff>98655</xdr:rowOff>
    </xdr:from>
    <xdr:to>
      <xdr:col>2</xdr:col>
      <xdr:colOff>583446</xdr:colOff>
      <xdr:row>5</xdr:row>
      <xdr:rowOff>71752</xdr:rowOff>
    </xdr:to>
    <xdr:pic>
      <xdr:nvPicPr>
        <xdr:cNvPr id="6" name="Picture 399">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2" cstate="print"/>
        <a:srcRect l="6927" t="12587" r="6927" b="15901"/>
        <a:stretch>
          <a:fillRect/>
        </a:stretch>
      </xdr:blipFill>
      <xdr:spPr bwMode="auto">
        <a:xfrm>
          <a:off x="190505" y="352655"/>
          <a:ext cx="1789941" cy="703347"/>
        </a:xfrm>
        <a:prstGeom prst="rect">
          <a:avLst/>
        </a:prstGeom>
        <a:solidFill>
          <a:srgbClr val="FFFFFF"/>
        </a:solidFill>
        <a:ln w="9525">
          <a:noFill/>
          <a:round/>
          <a:headEnd/>
          <a:tailEnd/>
        </a:ln>
      </xdr:spPr>
    </xdr:pic>
    <xdr:clientData/>
  </xdr:twoCellAnchor>
  <mc:AlternateContent xmlns:mc="http://schemas.openxmlformats.org/markup-compatibility/2006">
    <mc:Choice xmlns:a14="http://schemas.microsoft.com/office/drawing/2010/main" Requires="a14">
      <xdr:twoCellAnchor>
        <xdr:from>
          <xdr:col>7</xdr:col>
          <xdr:colOff>2179320</xdr:colOff>
          <xdr:row>62</xdr:row>
          <xdr:rowOff>0</xdr:rowOff>
        </xdr:from>
        <xdr:to>
          <xdr:col>8</xdr:col>
          <xdr:colOff>525780</xdr:colOff>
          <xdr:row>63</xdr:row>
          <xdr:rowOff>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500-000001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900" b="0" i="0" u="none" strike="noStrike" baseline="0">
                  <a:solidFill>
                    <a:srgbClr val="000000"/>
                  </a:solidFill>
                  <a:latin typeface="Times New Roman"/>
                  <a:cs typeface="Times New Roman"/>
                </a:rPr>
                <a:t>Set to zero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411480</xdr:colOff>
          <xdr:row>12</xdr:row>
          <xdr:rowOff>152400</xdr:rowOff>
        </xdr:from>
        <xdr:to>
          <xdr:col>13</xdr:col>
          <xdr:colOff>2232660</xdr:colOff>
          <xdr:row>35</xdr:row>
          <xdr:rowOff>160020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500-0000023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655320</xdr:colOff>
          <xdr:row>39</xdr:row>
          <xdr:rowOff>198120</xdr:rowOff>
        </xdr:from>
        <xdr:to>
          <xdr:col>19</xdr:col>
          <xdr:colOff>182880</xdr:colOff>
          <xdr:row>73</xdr:row>
          <xdr:rowOff>30480</xdr:rowOff>
        </xdr:to>
        <xdr:sp macro="" textlink="">
          <xdr:nvSpPr>
            <xdr:cNvPr id="12291" name="Object 3" hidden="1">
              <a:extLst>
                <a:ext uri="{63B3BB69-23CF-44E3-9099-C40C66FF867C}">
                  <a14:compatExt spid="_x0000_s12291"/>
                </a:ext>
                <a:ext uri="{FF2B5EF4-FFF2-40B4-BE49-F238E27FC236}">
                  <a16:creationId xmlns:a16="http://schemas.microsoft.com/office/drawing/2014/main" id="{00000000-0008-0000-0500-0000033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34637</xdr:colOff>
      <xdr:row>0</xdr:row>
      <xdr:rowOff>0</xdr:rowOff>
    </xdr:from>
    <xdr:to>
      <xdr:col>7</xdr:col>
      <xdr:colOff>242455</xdr:colOff>
      <xdr:row>3</xdr:row>
      <xdr:rowOff>0</xdr:rowOff>
    </xdr:to>
    <xdr:grpSp>
      <xdr:nvGrpSpPr>
        <xdr:cNvPr id="2" name="Group 1">
          <a:extLst>
            <a:ext uri="{FF2B5EF4-FFF2-40B4-BE49-F238E27FC236}">
              <a16:creationId xmlns:a16="http://schemas.microsoft.com/office/drawing/2014/main" id="{00000000-0008-0000-0600-000002000000}"/>
            </a:ext>
          </a:extLst>
        </xdr:cNvPr>
        <xdr:cNvGrpSpPr>
          <a:grpSpLocks/>
        </xdr:cNvGrpSpPr>
      </xdr:nvGrpSpPr>
      <xdr:grpSpPr bwMode="auto">
        <a:xfrm>
          <a:off x="34637" y="0"/>
          <a:ext cx="7046768" cy="552450"/>
          <a:chOff x="9524" y="0"/>
          <a:chExt cx="14087475" cy="485600"/>
        </a:xfrm>
      </xdr:grpSpPr>
      <xdr:sp macro="" textlink="">
        <xdr:nvSpPr>
          <xdr:cNvPr id="3" name="Rectangle 2">
            <a:extLst>
              <a:ext uri="{FF2B5EF4-FFF2-40B4-BE49-F238E27FC236}">
                <a16:creationId xmlns:a16="http://schemas.microsoft.com/office/drawing/2014/main" id="{00000000-0008-0000-06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4" name="Rectangle 3">
            <a:extLst>
              <a:ext uri="{FF2B5EF4-FFF2-40B4-BE49-F238E27FC236}">
                <a16:creationId xmlns:a16="http://schemas.microsoft.com/office/drawing/2014/main" id="{00000000-0008-0000-0600-000004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Structure</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3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4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34637</xdr:colOff>
      <xdr:row>0</xdr:row>
      <xdr:rowOff>0</xdr:rowOff>
    </xdr:from>
    <xdr:to>
      <xdr:col>7</xdr:col>
      <xdr:colOff>242455</xdr:colOff>
      <xdr:row>2</xdr:row>
      <xdr:rowOff>171450</xdr:rowOff>
    </xdr:to>
    <xdr:sp macro="" textlink="">
      <xdr:nvSpPr>
        <xdr:cNvPr id="86" name="Rectangle 85">
          <a:extLst>
            <a:ext uri="{FF2B5EF4-FFF2-40B4-BE49-F238E27FC236}">
              <a16:creationId xmlns:a16="http://schemas.microsoft.com/office/drawing/2014/main" id="{00000000-0008-0000-0600-000056000000}"/>
            </a:ext>
          </a:extLst>
        </xdr:cNvPr>
        <xdr:cNvSpPr/>
      </xdr:nvSpPr>
      <xdr:spPr bwMode="auto">
        <a:xfrm>
          <a:off x="34637" y="0"/>
          <a:ext cx="7046768" cy="53975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Structure</a:t>
          </a:r>
          <a:r>
            <a:rPr lang="en-US" sz="3200" kern="1200">
              <a:latin typeface="+mn-lt"/>
              <a:cs typeface="Times New Roman" pitchFamily="18" charset="0"/>
            </a:rPr>
            <a:t>- </a:t>
          </a:r>
          <a:r>
            <a:rPr lang="en-US" sz="2000" kern="1200">
              <a:latin typeface="+mn-lt"/>
              <a:cs typeface="Times New Roman" pitchFamily="18" charset="0"/>
            </a:rPr>
            <a:t>Product Tree</a:t>
          </a:r>
        </a:p>
      </xdr:txBody>
    </xdr:sp>
    <xdr:clientData/>
  </xdr:twoCellAnchor>
  <xdr:twoCellAnchor>
    <xdr:from>
      <xdr:col>3</xdr:col>
      <xdr:colOff>107950</xdr:colOff>
      <xdr:row>4</xdr:row>
      <xdr:rowOff>114300</xdr:rowOff>
    </xdr:from>
    <xdr:to>
      <xdr:col>5</xdr:col>
      <xdr:colOff>247650</xdr:colOff>
      <xdr:row>6</xdr:row>
      <xdr:rowOff>6350</xdr:rowOff>
    </xdr:to>
    <xdr:sp macro="" textlink="">
      <xdr:nvSpPr>
        <xdr:cNvPr id="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5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6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7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34637</xdr:colOff>
      <xdr:row>0</xdr:row>
      <xdr:rowOff>0</xdr:rowOff>
    </xdr:from>
    <xdr:to>
      <xdr:col>7</xdr:col>
      <xdr:colOff>242455</xdr:colOff>
      <xdr:row>3</xdr:row>
      <xdr:rowOff>0</xdr:rowOff>
    </xdr:to>
    <xdr:grpSp>
      <xdr:nvGrpSpPr>
        <xdr:cNvPr id="127" name="Group 126">
          <a:extLst>
            <a:ext uri="{FF2B5EF4-FFF2-40B4-BE49-F238E27FC236}">
              <a16:creationId xmlns:a16="http://schemas.microsoft.com/office/drawing/2014/main" id="{00000000-0008-0000-0600-00007F000000}"/>
            </a:ext>
          </a:extLst>
        </xdr:cNvPr>
        <xdr:cNvGrpSpPr>
          <a:grpSpLocks/>
        </xdr:cNvGrpSpPr>
      </xdr:nvGrpSpPr>
      <xdr:grpSpPr bwMode="auto">
        <a:xfrm>
          <a:off x="34637" y="0"/>
          <a:ext cx="7046768" cy="552450"/>
          <a:chOff x="9524" y="0"/>
          <a:chExt cx="14087475" cy="485600"/>
        </a:xfrm>
      </xdr:grpSpPr>
      <xdr:sp macro="" textlink="">
        <xdr:nvSpPr>
          <xdr:cNvPr id="128" name="Rectangle 127">
            <a:extLst>
              <a:ext uri="{FF2B5EF4-FFF2-40B4-BE49-F238E27FC236}">
                <a16:creationId xmlns:a16="http://schemas.microsoft.com/office/drawing/2014/main" id="{00000000-0008-0000-0600-000080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129" name="Rectangle 128">
            <a:extLst>
              <a:ext uri="{FF2B5EF4-FFF2-40B4-BE49-F238E27FC236}">
                <a16:creationId xmlns:a16="http://schemas.microsoft.com/office/drawing/2014/main" id="{00000000-0008-0000-0600-000081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Structure</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8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2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3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4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5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6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7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8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9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A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B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C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D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E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9F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0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1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34637</xdr:colOff>
      <xdr:row>0</xdr:row>
      <xdr:rowOff>0</xdr:rowOff>
    </xdr:from>
    <xdr:to>
      <xdr:col>7</xdr:col>
      <xdr:colOff>242455</xdr:colOff>
      <xdr:row>3</xdr:row>
      <xdr:rowOff>0</xdr:rowOff>
    </xdr:to>
    <xdr:grpSp>
      <xdr:nvGrpSpPr>
        <xdr:cNvPr id="162" name="Group 161">
          <a:extLst>
            <a:ext uri="{FF2B5EF4-FFF2-40B4-BE49-F238E27FC236}">
              <a16:creationId xmlns:a16="http://schemas.microsoft.com/office/drawing/2014/main" id="{00000000-0008-0000-0600-0000A2000000}"/>
            </a:ext>
          </a:extLst>
        </xdr:cNvPr>
        <xdr:cNvGrpSpPr>
          <a:grpSpLocks/>
        </xdr:cNvGrpSpPr>
      </xdr:nvGrpSpPr>
      <xdr:grpSpPr bwMode="auto">
        <a:xfrm>
          <a:off x="34637" y="0"/>
          <a:ext cx="7046768" cy="552450"/>
          <a:chOff x="9524" y="0"/>
          <a:chExt cx="14087475" cy="485600"/>
        </a:xfrm>
      </xdr:grpSpPr>
      <xdr:sp macro="" textlink="">
        <xdr:nvSpPr>
          <xdr:cNvPr id="163" name="Rectangle 162">
            <a:extLst>
              <a:ext uri="{FF2B5EF4-FFF2-40B4-BE49-F238E27FC236}">
                <a16:creationId xmlns:a16="http://schemas.microsoft.com/office/drawing/2014/main" id="{00000000-0008-0000-0600-0000A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164" name="Rectangle 163">
            <a:extLst>
              <a:ext uri="{FF2B5EF4-FFF2-40B4-BE49-F238E27FC236}">
                <a16:creationId xmlns:a16="http://schemas.microsoft.com/office/drawing/2014/main" id="{00000000-0008-0000-0600-0000A4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Structure</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A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5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6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7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8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9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A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B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C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D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E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BF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0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1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2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3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4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34637</xdr:colOff>
      <xdr:row>0</xdr:row>
      <xdr:rowOff>0</xdr:rowOff>
    </xdr:from>
    <xdr:to>
      <xdr:col>7</xdr:col>
      <xdr:colOff>242455</xdr:colOff>
      <xdr:row>3</xdr:row>
      <xdr:rowOff>0</xdr:rowOff>
    </xdr:to>
    <xdr:grpSp>
      <xdr:nvGrpSpPr>
        <xdr:cNvPr id="197" name="Group 196">
          <a:extLst>
            <a:ext uri="{FF2B5EF4-FFF2-40B4-BE49-F238E27FC236}">
              <a16:creationId xmlns:a16="http://schemas.microsoft.com/office/drawing/2014/main" id="{00000000-0008-0000-0600-0000C5000000}"/>
            </a:ext>
          </a:extLst>
        </xdr:cNvPr>
        <xdr:cNvGrpSpPr>
          <a:grpSpLocks/>
        </xdr:cNvGrpSpPr>
      </xdr:nvGrpSpPr>
      <xdr:grpSpPr bwMode="auto">
        <a:xfrm>
          <a:off x="34637" y="0"/>
          <a:ext cx="7046768" cy="552450"/>
          <a:chOff x="9524" y="0"/>
          <a:chExt cx="14087475" cy="485600"/>
        </a:xfrm>
      </xdr:grpSpPr>
      <xdr:sp macro="" textlink="">
        <xdr:nvSpPr>
          <xdr:cNvPr id="198" name="Rectangle 197">
            <a:extLst>
              <a:ext uri="{FF2B5EF4-FFF2-40B4-BE49-F238E27FC236}">
                <a16:creationId xmlns:a16="http://schemas.microsoft.com/office/drawing/2014/main" id="{00000000-0008-0000-0600-0000C6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199" name="Rectangle 198">
            <a:extLst>
              <a:ext uri="{FF2B5EF4-FFF2-40B4-BE49-F238E27FC236}">
                <a16:creationId xmlns:a16="http://schemas.microsoft.com/office/drawing/2014/main" id="{00000000-0008-0000-0600-0000C7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Structure</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C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D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E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0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1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2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3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4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5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6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7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8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9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A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B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C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D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E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FF00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34637</xdr:colOff>
      <xdr:row>0</xdr:row>
      <xdr:rowOff>0</xdr:rowOff>
    </xdr:from>
    <xdr:to>
      <xdr:col>7</xdr:col>
      <xdr:colOff>242455</xdr:colOff>
      <xdr:row>2</xdr:row>
      <xdr:rowOff>171450</xdr:rowOff>
    </xdr:to>
    <xdr:sp macro="" textlink="">
      <xdr:nvSpPr>
        <xdr:cNvPr id="256" name="Rectangle 255">
          <a:extLst>
            <a:ext uri="{FF2B5EF4-FFF2-40B4-BE49-F238E27FC236}">
              <a16:creationId xmlns:a16="http://schemas.microsoft.com/office/drawing/2014/main" id="{00000000-0008-0000-0600-000000010000}"/>
            </a:ext>
          </a:extLst>
        </xdr:cNvPr>
        <xdr:cNvSpPr/>
      </xdr:nvSpPr>
      <xdr:spPr bwMode="auto">
        <a:xfrm>
          <a:off x="34637" y="0"/>
          <a:ext cx="7046768" cy="53975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Structure</a:t>
          </a:r>
          <a:r>
            <a:rPr lang="en-US" sz="3200" kern="1200">
              <a:latin typeface="+mn-lt"/>
              <a:cs typeface="Times New Roman" pitchFamily="18" charset="0"/>
            </a:rPr>
            <a:t>- </a:t>
          </a:r>
          <a:r>
            <a:rPr lang="en-US" sz="2000" kern="1200">
              <a:latin typeface="+mn-lt"/>
              <a:cs typeface="Times New Roman" pitchFamily="18" charset="0"/>
            </a:rPr>
            <a:t>Product Tree</a:t>
          </a:r>
        </a:p>
      </xdr:txBody>
    </xdr:sp>
    <xdr:clientData/>
  </xdr:twoCellAnchor>
  <xdr:twoCellAnchor>
    <xdr:from>
      <xdr:col>3</xdr:col>
      <xdr:colOff>107950</xdr:colOff>
      <xdr:row>4</xdr:row>
      <xdr:rowOff>114300</xdr:rowOff>
    </xdr:from>
    <xdr:to>
      <xdr:col>5</xdr:col>
      <xdr:colOff>247650</xdr:colOff>
      <xdr:row>6</xdr:row>
      <xdr:rowOff>6350</xdr:rowOff>
    </xdr:to>
    <xdr:sp macro="" textlink="">
      <xdr:nvSpPr>
        <xdr:cNvPr id="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1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2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3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4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5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6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7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8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9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A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B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C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D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E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0F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001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1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2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3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4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5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6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7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8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9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A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B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C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D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E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1F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600-000020010000}"/>
            </a:ext>
          </a:extLst>
        </xdr:cNvPr>
        <xdr:cNvSpPr/>
      </xdr:nvSpPr>
      <xdr:spPr bwMode="auto">
        <a:xfrm>
          <a:off x="3695700" y="213995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1193800</xdr:colOff>
      <xdr:row>3</xdr:row>
      <xdr:rowOff>114300</xdr:rowOff>
    </xdr:from>
    <xdr:to>
      <xdr:col>5</xdr:col>
      <xdr:colOff>552450</xdr:colOff>
      <xdr:row>18</xdr:row>
      <xdr:rowOff>95250</xdr:rowOff>
    </xdr:to>
    <xdr:graphicFrame macro="">
      <xdr:nvGraphicFramePr>
        <xdr:cNvPr id="289" name="Diagram 288">
          <a:extLst>
            <a:ext uri="{FF2B5EF4-FFF2-40B4-BE49-F238E27FC236}">
              <a16:creationId xmlns:a16="http://schemas.microsoft.com/office/drawing/2014/main" id="{00000000-0008-0000-0600-00002101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18</xdr:col>
      <xdr:colOff>293687</xdr:colOff>
      <xdr:row>28</xdr:row>
      <xdr:rowOff>176214</xdr:rowOff>
    </xdr:from>
    <xdr:to>
      <xdr:col>27</xdr:col>
      <xdr:colOff>380999</xdr:colOff>
      <xdr:row>43</xdr:row>
      <xdr:rowOff>0</xdr:rowOff>
    </xdr:to>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oris%20Franchi\Desktop\Ideas%20for%20worksheets%20integrations\Marcos\Product%20Tree\AutoTree%20GenerationOCDTi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Payload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Payload_v1.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Loris%20Franchi\Desktop\Ideas%20for%20worksheets%20integrations\Calculation%20sheets_ToBeReviewd\Thermal%20And%20Structure\Subsyste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ADCS_v2.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ADCS_v1.9.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Polito-ESA-ISU_Mission_v2.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DHS_V1.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Teacher\Desktop\Calculation%20sheets\Old\ESA-ISU_CalculationSheet_Structure.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WithTradeOff\Structure_V1.9%20(With%20TradeOff%20And%20Product%20Tree).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Mission_v1.9.1.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Mission_v1.8.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Thermal_v2.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Thermal_v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Loris%20Franchi\Desktop\ADP%20final\Calculation%20Sheets\WithMacros\ESA-ISU_Thermal_v1.9(With%20TradeOff%20and%20Product%20Tree).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Teacher\Desktop\Calculation%20sheets\New\Polito-ESA-ISU_Thermal_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ORDE_Info"/>
      <sheetName val="Parameters"/>
      <sheetName val="States"/>
      <sheetName val="Option_default"/>
      <sheetName val="Option_TempOpt"/>
      <sheetName val="Summary_default"/>
      <sheetName val="Summary_TempOpt"/>
      <sheetName val="TempData"/>
      <sheetName val="Data"/>
      <sheetName val="ProductTreeMain"/>
      <sheetName val="Product Tree_Example_Results"/>
      <sheetName val="Db"/>
      <sheetName val="Product Tree Manual"/>
      <sheetName val="AutoTree GenerationOCDTint"/>
    </sheetNames>
    <sheetDataSet>
      <sheetData sheetId="0"/>
      <sheetData sheetId="1">
        <row r="2">
          <cell r="I2">
            <v>1001000</v>
          </cell>
        </row>
        <row r="4">
          <cell r="I4">
            <v>2</v>
          </cell>
        </row>
        <row r="5">
          <cell r="I5">
            <v>3</v>
          </cell>
        </row>
        <row r="6">
          <cell r="I6" t="str">
            <v>-</v>
          </cell>
        </row>
        <row r="8">
          <cell r="I8" t="str">
            <v>-</v>
          </cell>
        </row>
        <row r="9">
          <cell r="I9" t="str">
            <v>-</v>
          </cell>
        </row>
        <row r="10">
          <cell r="I10" t="str">
            <v>-</v>
          </cell>
        </row>
        <row r="12">
          <cell r="I12" t="str">
            <v>-</v>
          </cell>
        </row>
        <row r="13">
          <cell r="I13" t="str">
            <v>-</v>
          </cell>
        </row>
        <row r="14">
          <cell r="I14" t="str">
            <v>-</v>
          </cell>
        </row>
        <row r="16">
          <cell r="I16" t="str">
            <v>-</v>
          </cell>
        </row>
        <row r="17">
          <cell r="I17" t="str">
            <v>-</v>
          </cell>
        </row>
        <row r="18">
          <cell r="I18" t="str">
            <v>-</v>
          </cell>
        </row>
        <row r="20">
          <cell r="I20" t="str">
            <v>-</v>
          </cell>
        </row>
        <row r="21">
          <cell r="I21" t="str">
            <v>-</v>
          </cell>
        </row>
        <row r="22">
          <cell r="I22" t="str">
            <v>-</v>
          </cell>
        </row>
        <row r="24">
          <cell r="I24" t="str">
            <v>-</v>
          </cell>
        </row>
        <row r="25">
          <cell r="I25" t="str">
            <v>-</v>
          </cell>
        </row>
        <row r="26">
          <cell r="I26" t="str">
            <v>0,2</v>
          </cell>
        </row>
        <row r="28">
          <cell r="I28" t="str">
            <v>-</v>
          </cell>
        </row>
        <row r="29">
          <cell r="I29" t="str">
            <v>-</v>
          </cell>
        </row>
        <row r="30">
          <cell r="I30">
            <v>3</v>
          </cell>
        </row>
        <row r="32">
          <cell r="I32" t="str">
            <v>-</v>
          </cell>
        </row>
        <row r="33">
          <cell r="I33" t="str">
            <v>-</v>
          </cell>
        </row>
        <row r="34">
          <cell r="I34" t="str">
            <v>-</v>
          </cell>
        </row>
        <row r="36">
          <cell r="I36" t="str">
            <v>-</v>
          </cell>
        </row>
        <row r="37">
          <cell r="I37" t="str">
            <v>-</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s Payload - Optics"/>
      <sheetName val="Obs Payload - Sizing"/>
      <sheetName val="Obs Payload- Along Track Stereo"/>
      <sheetName val="MSI-Radiometric budget"/>
      <sheetName val="Modes"/>
      <sheetName val="EO- Missions"/>
      <sheetName val="EO Sensors"/>
      <sheetName val="ProductTreeMain"/>
      <sheetName val="Trade_off"/>
      <sheetName val="Db"/>
      <sheetName val="Constants"/>
      <sheetName val="ESA-ISU_Payload_v2"/>
    </sheetNames>
    <sheetDataSet>
      <sheetData sheetId="0" refreshError="1"/>
      <sheetData sheetId="1" refreshError="1"/>
      <sheetData sheetId="2" refreshError="1"/>
      <sheetData sheetId="3">
        <row r="35">
          <cell r="D35">
            <v>2.4383172413793104</v>
          </cell>
        </row>
        <row r="36">
          <cell r="D36"/>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bs Payload - Optics"/>
      <sheetName val="Obs Payload - Sizing"/>
      <sheetName val="Obs Payload- Along Track Stereo"/>
      <sheetName val="MSI-Radiometric budget"/>
      <sheetName val="EO- Missions"/>
      <sheetName val="Sensors-Db"/>
      <sheetName val="Constants"/>
    </sheetNames>
    <sheetDataSet>
      <sheetData sheetId="0"/>
      <sheetData sheetId="1"/>
      <sheetData sheetId="2"/>
      <sheetData sheetId="3"/>
      <sheetData sheetId="4"/>
      <sheetData sheetId="5"/>
      <sheetData sheetId="6"/>
      <sheetData sheetId="7">
        <row r="1">
          <cell r="B1">
            <v>299792458</v>
          </cell>
        </row>
        <row r="3">
          <cell r="B3">
            <v>1.3806580000000001E-23</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system"/>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Objectives"/>
      <sheetName val="Attitude Control - Torques"/>
      <sheetName val="Modes"/>
      <sheetName val="Attitude Control - Sizing"/>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ow r="20">
          <cell r="Q20">
            <v>0.2</v>
          </cell>
        </row>
        <row r="30">
          <cell r="Q30">
            <v>0.5</v>
          </cell>
        </row>
        <row r="66">
          <cell r="Q66">
            <v>0</v>
          </cell>
        </row>
      </sheetData>
      <sheetData sheetId="7" refreshError="1"/>
      <sheetData sheetId="8" refreshError="1"/>
      <sheetData sheetId="9">
        <row r="1">
          <cell r="B1">
            <v>299792458</v>
          </cell>
        </row>
        <row r="11">
          <cell r="B11">
            <v>6378.1369999999997</v>
          </cell>
        </row>
        <row r="12">
          <cell r="B12">
            <v>398600.44179999997</v>
          </cell>
        </row>
        <row r="33">
          <cell r="B33">
            <v>1367</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Attitude Control - Torques"/>
      <sheetName val="Modes"/>
      <sheetName val="Attitude Control - Sizing"/>
      <sheetName val="Constants"/>
    </sheetNames>
    <sheetDataSet>
      <sheetData sheetId="0" refreshError="1"/>
      <sheetData sheetId="1" refreshError="1"/>
      <sheetData sheetId="2" refreshError="1"/>
      <sheetData sheetId="3" refreshError="1"/>
      <sheetData sheetId="4" refreshError="1"/>
      <sheetData sheetId="5">
        <row r="20">
          <cell r="Q20">
            <v>0.2</v>
          </cell>
        </row>
        <row r="30">
          <cell r="Q30">
            <v>0.5</v>
          </cell>
        </row>
        <row r="66">
          <cell r="Q66">
            <v>0</v>
          </cell>
        </row>
      </sheetData>
      <sheetData sheetId="6">
        <row r="1">
          <cell r="B1">
            <v>299792458</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jectives"/>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7">
          <cell r="B7">
            <v>132700000000</v>
          </cell>
        </row>
        <row r="9">
          <cell r="B9">
            <v>149600016.456</v>
          </cell>
        </row>
        <row r="14">
          <cell r="B14">
            <v>24</v>
          </cell>
        </row>
        <row r="16">
          <cell r="B16">
            <v>149600000</v>
          </cell>
        </row>
        <row r="19">
          <cell r="B19">
            <v>4902</v>
          </cell>
        </row>
        <row r="20">
          <cell r="B20">
            <v>2.0269999999999999E-4</v>
          </cell>
        </row>
        <row r="27">
          <cell r="B27">
            <v>126.31820461308959</v>
          </cell>
        </row>
      </sheetData>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Objectives"/>
      <sheetName val="CDH - DataBudget &amp; Mass Storage"/>
      <sheetName val="CDH -Single Master"/>
      <sheetName val="Distributed - ADCS board"/>
      <sheetName val="Distributed - Payload Board"/>
      <sheetName val="Distributed - TT&amp;C"/>
      <sheetName val="Radiation Hardness"/>
      <sheetName val="CDH -Distributed"/>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8">
          <cell r="B18">
            <v>6378.1369999999997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General Inputs"/>
      <sheetName val="Cylinder"/>
      <sheetName val="Prism"/>
      <sheetName val="ProductTreeMain"/>
      <sheetName val="Trade_off"/>
      <sheetName val="Constants"/>
    </sheetNames>
    <sheetDataSet>
      <sheetData sheetId="0"/>
      <sheetData sheetId="1"/>
      <sheetData sheetId="2"/>
      <sheetData sheetId="3"/>
      <sheetData sheetId="4"/>
      <sheetData sheetId="5"/>
      <sheetData sheetId="6"/>
      <sheetData sheetId="7">
        <row r="6">
          <cell r="B6">
            <v>6378.14</v>
          </cell>
        </row>
        <row r="7">
          <cell r="B7">
            <v>398600.5</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General Inputs"/>
      <sheetName val="Cylinder"/>
      <sheetName val="Prism"/>
      <sheetName val="MainTrade"/>
      <sheetName val="ProductTreeMain"/>
      <sheetName val="Temp"/>
      <sheetName val="Db"/>
      <sheetName val="Constants"/>
      <sheetName val="Structure_V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ow r="6">
          <cell r="B6">
            <v>6378.14</v>
          </cell>
        </row>
        <row r="7">
          <cell r="B7">
            <v>398600.5</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
          <cell r="B7">
            <v>132700000000</v>
          </cell>
        </row>
        <row r="9">
          <cell r="B9">
            <v>149600016.456</v>
          </cell>
        </row>
        <row r="11">
          <cell r="B11">
            <v>6378.1369999999997</v>
          </cell>
        </row>
        <row r="12">
          <cell r="B12">
            <v>398600.44179999997</v>
          </cell>
        </row>
        <row r="14">
          <cell r="B14">
            <v>24</v>
          </cell>
        </row>
        <row r="16">
          <cell r="B16">
            <v>149600016.456</v>
          </cell>
        </row>
        <row r="18">
          <cell r="B18">
            <v>6378.1369999999997</v>
          </cell>
        </row>
        <row r="19">
          <cell r="B19">
            <v>398600.44179999997</v>
          </cell>
        </row>
        <row r="20">
          <cell r="B20">
            <v>1.0826359000000001E-3</v>
          </cell>
        </row>
        <row r="27">
          <cell r="B27">
            <v>463.8312116386399</v>
          </cell>
        </row>
        <row r="40">
          <cell r="B40">
            <v>57.2958</v>
          </cell>
        </row>
      </sheetData>
      <sheetData sheetId="2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rbits - Dynamics"/>
      <sheetName val="Orbits - Geometry"/>
      <sheetName val="Planet Coverage Vs Latitude"/>
      <sheetName val="Interplanetary - Launch Windows"/>
      <sheetName val="Interplanetary Missions"/>
      <sheetName val="Interplanetary -Transfer "/>
      <sheetName val="Orbits - Maneuvers"/>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B7">
            <v>132700000000</v>
          </cell>
        </row>
        <row r="9">
          <cell r="B9">
            <v>149600016.456</v>
          </cell>
        </row>
      </sheetData>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32">
          <cell r="B32">
            <v>7.2999999999999995E-2</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row r="6">
          <cell r="I6">
            <v>175.17995263503801</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18">
          <cell r="B18">
            <v>1737</v>
          </cell>
        </row>
        <row r="19">
          <cell r="B19">
            <v>4902</v>
          </cell>
        </row>
        <row r="29">
          <cell r="B29">
            <v>1226</v>
          </cell>
        </row>
        <row r="30">
          <cell r="B30">
            <v>5.2</v>
          </cell>
        </row>
        <row r="32">
          <cell r="B32">
            <v>7.2999999999999995E-2</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
      <sheetName val="Workbook Description"/>
      <sheetName val="Thermal Control - Spherical"/>
      <sheetName val="MLI Design"/>
      <sheetName val="Thermal Control - Solar Array"/>
      <sheetName val="Modes"/>
      <sheetName val="MainTrade"/>
      <sheetName val="ProductTreeMain"/>
      <sheetName val="Constants"/>
      <sheetName val="Temp"/>
      <sheetName val="Db"/>
    </sheetNames>
    <sheetDataSet>
      <sheetData sheetId="0"/>
      <sheetData sheetId="1"/>
      <sheetData sheetId="2"/>
      <sheetData sheetId="3"/>
      <sheetData sheetId="4"/>
      <sheetData sheetId="5"/>
      <sheetData sheetId="6"/>
      <sheetData sheetId="7"/>
      <sheetData sheetId="8"/>
      <sheetData sheetId="9">
        <row r="4">
          <cell r="B4">
            <v>5.6705100000000003E-8</v>
          </cell>
        </row>
        <row r="18">
          <cell r="B18">
            <v>6378.1369999999997</v>
          </cell>
        </row>
        <row r="19">
          <cell r="B19">
            <v>398600.44179999997</v>
          </cell>
        </row>
        <row r="29">
          <cell r="B29">
            <v>258</v>
          </cell>
        </row>
        <row r="30">
          <cell r="B30">
            <v>216</v>
          </cell>
        </row>
        <row r="32">
          <cell r="B32">
            <v>0.34</v>
          </cell>
        </row>
      </sheetData>
      <sheetData sheetId="10"/>
      <sheetData sheetId="1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jectives"/>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9">
          <cell r="B29">
            <v>1226</v>
          </cell>
        </row>
        <row r="30">
          <cell r="B30">
            <v>5.2</v>
          </cell>
        </row>
      </sheetData>
    </sheetDataSet>
  </externalBook>
</externalLink>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10.emf"/><Relationship Id="rId12"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ctrlProp" Target="../ctrlProps/ctrlProp4.xml"/><Relationship Id="rId5" Type="http://schemas.openxmlformats.org/officeDocument/2006/relationships/image" Target="../media/image9.emf"/><Relationship Id="rId10" Type="http://schemas.openxmlformats.org/officeDocument/2006/relationships/ctrlProp" Target="../ctrlProps/ctrlProp3.xml"/><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image" Target="../media/image13.emf"/><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12.emf"/><Relationship Id="rId4" Type="http://schemas.openxmlformats.org/officeDocument/2006/relationships/oleObject" Target="../embeddings/oleObject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showGridLines="0" zoomScale="55" zoomScaleNormal="55" workbookViewId="0"/>
  </sheetViews>
  <sheetFormatPr defaultRowHeight="13.8"/>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
  <sheetViews>
    <sheetView workbookViewId="0">
      <selection activeCell="H13" sqref="H13"/>
    </sheetView>
  </sheetViews>
  <sheetFormatPr defaultRowHeight="13.8"/>
  <cols>
    <col min="1" max="1" width="6.08984375" bestFit="1" customWidth="1"/>
    <col min="2" max="2" width="5.08984375" bestFit="1" customWidth="1"/>
    <col min="3" max="3" width="11.453125" bestFit="1" customWidth="1"/>
    <col min="4" max="4" width="11.6328125" bestFit="1" customWidth="1"/>
    <col min="5" max="5" width="7.453125" bestFit="1" customWidth="1"/>
    <col min="6" max="6" width="18" bestFit="1" customWidth="1"/>
  </cols>
  <sheetData>
    <row r="1" spans="1:6" ht="21.6" thickBot="1">
      <c r="A1" s="54" t="s">
        <v>261</v>
      </c>
      <c r="B1" s="54" t="s">
        <v>262</v>
      </c>
      <c r="C1" s="54" t="s">
        <v>263</v>
      </c>
      <c r="D1" s="54" t="s">
        <v>264</v>
      </c>
      <c r="E1" s="54" t="s">
        <v>265</v>
      </c>
      <c r="F1" s="55" t="s">
        <v>266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7030A0"/>
  </sheetPr>
  <dimension ref="A1"/>
  <sheetViews>
    <sheetView showGridLines="0" zoomScale="70" zoomScaleNormal="70" workbookViewId="0">
      <selection activeCell="I45" sqref="I45"/>
    </sheetView>
  </sheetViews>
  <sheetFormatPr defaultColWidth="9.08984375" defaultRowHeight="13.2"/>
  <cols>
    <col min="1" max="16384" width="9.08984375" style="498"/>
  </cols>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249977111117893"/>
    <pageSetUpPr fitToPage="1"/>
  </sheetPr>
  <dimension ref="A1:AR254"/>
  <sheetViews>
    <sheetView zoomScale="55" zoomScaleNormal="55" workbookViewId="0">
      <pane ySplit="10" topLeftCell="A11" activePane="bottomLeft" state="frozen"/>
      <selection activeCell="Q9" sqref="Q9"/>
      <selection pane="bottomLeft" activeCell="D26" sqref="D26"/>
    </sheetView>
  </sheetViews>
  <sheetFormatPr defaultColWidth="7.1796875" defaultRowHeight="13.2"/>
  <cols>
    <col min="1" max="1" width="7.36328125" style="381" customWidth="1"/>
    <col min="2" max="2" width="5.90625" style="381" bestFit="1" customWidth="1"/>
    <col min="3" max="3" width="25.08984375" style="381" customWidth="1"/>
    <col min="4" max="4" width="16.08984375" style="381" customWidth="1"/>
    <col min="5" max="5" width="11.54296875" style="381" customWidth="1"/>
    <col min="6" max="6" width="15.36328125" style="381" customWidth="1"/>
    <col min="7" max="7" width="13.08984375" style="381" customWidth="1"/>
    <col min="8" max="8" width="26.90625" style="381" bestFit="1" customWidth="1"/>
    <col min="9" max="9" width="14.6328125" style="381" bestFit="1" customWidth="1"/>
    <col min="10" max="10" width="12.1796875" style="381" customWidth="1"/>
    <col min="11" max="11" width="12.08984375" style="381" customWidth="1"/>
    <col min="12" max="13" width="21" style="381" customWidth="1"/>
    <col min="14" max="14" width="20.90625" style="381" customWidth="1"/>
    <col min="15" max="15" width="13.6328125" style="381" customWidth="1"/>
    <col min="16" max="16" width="11.36328125" style="381" customWidth="1"/>
    <col min="17" max="17" width="7.36328125" style="381" customWidth="1"/>
    <col min="18" max="16384" width="7.1796875" style="381"/>
  </cols>
  <sheetData>
    <row r="1" spans="1:18" ht="20.100000000000001" customHeight="1">
      <c r="A1" s="380"/>
      <c r="B1" s="57"/>
      <c r="C1" s="57"/>
      <c r="D1" s="380"/>
      <c r="E1" s="57"/>
      <c r="F1" s="57"/>
      <c r="G1" s="57"/>
      <c r="H1" s="57"/>
      <c r="I1" s="57"/>
      <c r="J1" s="57"/>
      <c r="K1" s="57"/>
      <c r="L1" s="57"/>
      <c r="M1" s="57"/>
      <c r="N1" s="57"/>
      <c r="O1" s="380"/>
      <c r="P1" s="380"/>
      <c r="Q1" s="380"/>
    </row>
    <row r="2" spans="1:18" ht="20.100000000000001" customHeight="1">
      <c r="A2" s="57"/>
      <c r="B2" s="57"/>
      <c r="C2" s="57"/>
      <c r="D2" s="502"/>
      <c r="E2" s="503"/>
      <c r="F2" s="503"/>
      <c r="G2" s="503"/>
      <c r="H2" s="503"/>
      <c r="I2" s="503"/>
      <c r="J2" s="57"/>
      <c r="K2" s="57"/>
      <c r="L2" s="57"/>
      <c r="M2" s="57"/>
      <c r="N2" s="57"/>
      <c r="O2" s="380"/>
      <c r="P2" s="380"/>
      <c r="Q2" s="380"/>
    </row>
    <row r="3" spans="1:18" ht="12.75" customHeight="1">
      <c r="A3" s="57"/>
      <c r="B3" s="57"/>
      <c r="C3" s="57"/>
      <c r="D3" s="503"/>
      <c r="E3" s="503"/>
      <c r="F3" s="503"/>
      <c r="G3" s="503"/>
      <c r="H3" s="503"/>
      <c r="I3" s="503"/>
      <c r="J3" s="57"/>
      <c r="K3" s="57"/>
      <c r="L3" s="57"/>
      <c r="M3" s="57"/>
      <c r="N3" s="57"/>
      <c r="O3" s="380"/>
      <c r="P3" s="380"/>
      <c r="Q3" s="380"/>
    </row>
    <row r="4" spans="1:18" ht="12.75" customHeight="1">
      <c r="A4" s="57"/>
      <c r="B4" s="57"/>
      <c r="C4" s="57"/>
      <c r="D4" s="503"/>
      <c r="E4" s="503"/>
      <c r="F4" s="503"/>
      <c r="G4" s="503"/>
      <c r="H4" s="503"/>
      <c r="I4" s="503"/>
      <c r="J4" s="57"/>
      <c r="K4" s="57"/>
      <c r="L4" s="57"/>
      <c r="M4" s="57"/>
      <c r="N4" s="57"/>
      <c r="O4" s="380"/>
      <c r="P4" s="380"/>
      <c r="Q4" s="380"/>
    </row>
    <row r="5" spans="1:18" ht="12.75" customHeight="1">
      <c r="A5" s="57"/>
      <c r="B5" s="57"/>
      <c r="C5" s="57"/>
      <c r="D5" s="503"/>
      <c r="E5" s="503"/>
      <c r="F5" s="503"/>
      <c r="G5" s="503"/>
      <c r="H5" s="503"/>
      <c r="I5" s="503"/>
      <c r="J5" s="57"/>
      <c r="K5" s="57"/>
      <c r="L5" s="57"/>
      <c r="M5" s="57"/>
      <c r="N5" s="57"/>
      <c r="O5" s="380"/>
      <c r="P5" s="380"/>
      <c r="Q5" s="380"/>
    </row>
    <row r="6" spans="1:18" ht="12.75" customHeight="1">
      <c r="A6" s="57"/>
      <c r="B6" s="57"/>
      <c r="C6" s="57"/>
      <c r="D6" s="503"/>
      <c r="E6" s="503"/>
      <c r="F6" s="503"/>
      <c r="G6" s="503"/>
      <c r="H6" s="503"/>
      <c r="I6" s="503"/>
      <c r="J6" s="57"/>
      <c r="K6" s="57"/>
      <c r="L6" s="57"/>
      <c r="M6" s="57"/>
      <c r="N6" s="57"/>
      <c r="O6" s="380"/>
      <c r="P6" s="380"/>
      <c r="Q6" s="380"/>
    </row>
    <row r="7" spans="1:18" ht="18.75" customHeight="1">
      <c r="A7" s="59"/>
      <c r="B7" s="60"/>
      <c r="C7" s="60"/>
      <c r="D7" s="503"/>
      <c r="E7" s="503"/>
      <c r="F7" s="503"/>
      <c r="G7" s="503"/>
      <c r="H7" s="503"/>
      <c r="I7" s="503"/>
      <c r="J7" s="57"/>
      <c r="K7" s="57"/>
      <c r="L7" s="57"/>
      <c r="M7" s="57"/>
      <c r="N7" s="57"/>
      <c r="O7" s="380"/>
      <c r="P7" s="380"/>
      <c r="Q7" s="380"/>
    </row>
    <row r="8" spans="1:18" ht="12.75" hidden="1" customHeight="1">
      <c r="A8" s="60"/>
      <c r="B8" s="60"/>
      <c r="C8" s="60"/>
      <c r="D8" s="57"/>
      <c r="E8" s="57"/>
      <c r="F8" s="57"/>
      <c r="G8" s="57"/>
      <c r="H8" s="57"/>
      <c r="I8" s="57"/>
      <c r="J8" s="57"/>
      <c r="K8" s="57"/>
      <c r="L8" s="57"/>
      <c r="M8" s="57"/>
      <c r="N8" s="57"/>
      <c r="O8" s="380"/>
      <c r="P8" s="380"/>
      <c r="Q8" s="380"/>
    </row>
    <row r="9" spans="1:18" ht="12.75" hidden="1" customHeight="1">
      <c r="A9" s="60"/>
      <c r="B9" s="60"/>
      <c r="C9" s="60"/>
      <c r="D9" s="60"/>
      <c r="E9" s="60"/>
      <c r="F9" s="60"/>
      <c r="G9" s="60"/>
      <c r="H9" s="60"/>
      <c r="I9" s="60"/>
      <c r="J9" s="60"/>
      <c r="K9" s="60"/>
      <c r="L9" s="60"/>
      <c r="M9" s="60"/>
      <c r="N9" s="60"/>
      <c r="O9" s="380"/>
      <c r="P9" s="380"/>
      <c r="Q9" s="380"/>
    </row>
    <row r="10" spans="1:18" s="383" customFormat="1" hidden="1">
      <c r="A10" s="382"/>
      <c r="B10" s="382"/>
      <c r="C10" s="382"/>
      <c r="D10" s="382"/>
      <c r="E10" s="382"/>
      <c r="F10" s="382"/>
      <c r="G10" s="382"/>
      <c r="H10" s="382"/>
      <c r="I10" s="382"/>
      <c r="J10" s="382"/>
      <c r="K10" s="382"/>
      <c r="L10" s="382"/>
      <c r="M10" s="382"/>
      <c r="N10" s="382"/>
      <c r="O10" s="382"/>
      <c r="P10" s="382"/>
      <c r="Q10" s="382"/>
    </row>
    <row r="11" spans="1:18" s="385" customFormat="1" ht="18.600000000000001" thickBot="1">
      <c r="A11" s="384"/>
      <c r="B11" s="384"/>
      <c r="C11" s="384"/>
      <c r="D11" s="384"/>
      <c r="E11" s="384"/>
      <c r="F11" s="384"/>
      <c r="G11" s="384"/>
      <c r="H11" s="384"/>
      <c r="I11" s="384"/>
      <c r="J11" s="384"/>
      <c r="K11" s="384"/>
      <c r="L11" s="384"/>
      <c r="M11" s="384"/>
      <c r="N11" s="384"/>
      <c r="O11" s="384"/>
      <c r="P11" s="384"/>
      <c r="Q11" s="384"/>
    </row>
    <row r="12" spans="1:18" s="385" customFormat="1" ht="25.8" thickTop="1" thickBot="1">
      <c r="A12" s="1"/>
      <c r="B12" s="504" t="s">
        <v>3</v>
      </c>
      <c r="C12" s="505"/>
      <c r="D12" s="505"/>
      <c r="E12" s="505"/>
      <c r="F12" s="505"/>
      <c r="G12" s="506"/>
      <c r="H12" s="507" t="s">
        <v>4</v>
      </c>
      <c r="I12" s="508"/>
      <c r="J12" s="509"/>
      <c r="K12" s="384"/>
      <c r="L12" s="2"/>
      <c r="M12" s="3"/>
      <c r="N12" s="384"/>
      <c r="O12" s="384"/>
      <c r="P12" s="384"/>
      <c r="Q12" s="384"/>
      <c r="R12" s="4"/>
    </row>
    <row r="13" spans="1:18" s="385" customFormat="1" ht="24" customHeight="1" thickTop="1" thickBot="1">
      <c r="A13" s="384"/>
      <c r="B13" s="510" t="s">
        <v>5</v>
      </c>
      <c r="C13" s="511"/>
      <c r="D13" s="511"/>
      <c r="E13" s="511"/>
      <c r="F13" s="511"/>
      <c r="G13" s="512"/>
      <c r="H13" s="513" t="s">
        <v>6</v>
      </c>
      <c r="I13" s="514"/>
      <c r="J13" s="515"/>
      <c r="K13" s="384"/>
      <c r="L13" s="384"/>
      <c r="M13" s="384"/>
      <c r="N13" s="384"/>
      <c r="O13" s="384"/>
      <c r="P13" s="384"/>
      <c r="Q13" s="384"/>
    </row>
    <row r="14" spans="1:18" s="385" customFormat="1" ht="18">
      <c r="A14" s="384"/>
      <c r="B14" s="386"/>
      <c r="C14" s="387" t="s">
        <v>7</v>
      </c>
      <c r="D14" s="388"/>
      <c r="E14" s="389"/>
      <c r="F14" s="390" t="s">
        <v>9</v>
      </c>
      <c r="G14" s="391"/>
      <c r="H14" s="384"/>
      <c r="I14" s="384"/>
      <c r="J14" s="384"/>
      <c r="K14" s="384"/>
      <c r="L14" s="384"/>
      <c r="M14" s="384" t="s">
        <v>9</v>
      </c>
      <c r="N14" s="384"/>
      <c r="O14" s="384"/>
      <c r="P14" s="384"/>
      <c r="Q14" s="384"/>
    </row>
    <row r="15" spans="1:18" s="385" customFormat="1" ht="18">
      <c r="A15" s="384"/>
      <c r="B15" s="392"/>
      <c r="C15" s="393"/>
      <c r="D15" s="393"/>
      <c r="E15" s="394"/>
      <c r="F15" s="394"/>
      <c r="G15" s="395"/>
      <c r="H15" s="384"/>
      <c r="I15" s="384"/>
      <c r="J15" s="384"/>
      <c r="K15" s="384"/>
      <c r="L15" s="384"/>
      <c r="M15" s="384" t="s">
        <v>8</v>
      </c>
      <c r="N15" s="384"/>
      <c r="O15" s="384"/>
      <c r="P15" s="384"/>
      <c r="Q15" s="384"/>
    </row>
    <row r="16" spans="1:18" s="385" customFormat="1" ht="18.75" customHeight="1">
      <c r="A16" s="384"/>
      <c r="B16" s="396" t="s">
        <v>344</v>
      </c>
      <c r="C16" s="157" t="s">
        <v>10</v>
      </c>
      <c r="D16" s="393"/>
      <c r="E16" s="220"/>
      <c r="F16" s="397">
        <f>IF(E16&lt;&gt;"",E16,1.25)</f>
        <v>1.25</v>
      </c>
      <c r="G16" s="398" t="s">
        <v>11</v>
      </c>
      <c r="H16" s="384"/>
      <c r="I16" s="384"/>
      <c r="J16" s="384"/>
      <c r="K16" s="384"/>
      <c r="L16" s="384"/>
      <c r="M16" s="384"/>
      <c r="N16" s="384"/>
      <c r="O16" s="384"/>
      <c r="P16" s="384"/>
      <c r="Q16" s="384"/>
    </row>
    <row r="17" spans="1:44" s="385" customFormat="1" ht="20.399999999999999">
      <c r="A17" s="384"/>
      <c r="B17" s="396" t="s">
        <v>345</v>
      </c>
      <c r="C17" s="157" t="s">
        <v>12</v>
      </c>
      <c r="D17" s="393"/>
      <c r="E17" s="220"/>
      <c r="F17" s="397">
        <f>IF(E17&lt;&gt;"",E17,1.1)</f>
        <v>1.1000000000000001</v>
      </c>
      <c r="G17" s="398" t="s">
        <v>11</v>
      </c>
      <c r="H17" s="384"/>
      <c r="I17" s="384"/>
      <c r="J17" s="384"/>
      <c r="K17" s="384"/>
      <c r="L17" s="384"/>
      <c r="M17" s="384"/>
      <c r="N17" s="384"/>
      <c r="O17" s="384"/>
      <c r="P17" s="384"/>
      <c r="Q17" s="384"/>
    </row>
    <row r="18" spans="1:44" s="385" customFormat="1" ht="18.600000000000001" customHeight="1" thickBot="1">
      <c r="A18" s="384"/>
      <c r="B18" s="396"/>
      <c r="C18" s="157"/>
      <c r="D18" s="393"/>
      <c r="E18" s="399"/>
      <c r="F18" s="399"/>
      <c r="G18" s="398"/>
      <c r="H18" s="384"/>
      <c r="I18" s="384"/>
      <c r="J18" s="384"/>
      <c r="K18" s="384"/>
      <c r="L18" s="384"/>
      <c r="M18" s="384"/>
      <c r="N18" s="384"/>
      <c r="O18" s="384"/>
      <c r="P18" s="384"/>
      <c r="Q18" s="384"/>
    </row>
    <row r="19" spans="1:44" s="385" customFormat="1" ht="25.8" thickTop="1" thickBot="1">
      <c r="A19" s="384"/>
      <c r="B19" s="499" t="s">
        <v>13</v>
      </c>
      <c r="C19" s="500"/>
      <c r="D19" s="500"/>
      <c r="E19" s="500"/>
      <c r="F19" s="500"/>
      <c r="G19" s="501"/>
      <c r="H19" s="384"/>
      <c r="I19" s="384"/>
      <c r="J19" s="384"/>
      <c r="K19" s="384"/>
      <c r="L19" s="384"/>
      <c r="M19" s="384"/>
      <c r="N19" s="384"/>
      <c r="O19" s="384"/>
      <c r="P19" s="384"/>
      <c r="Q19" s="384"/>
    </row>
    <row r="20" spans="1:44" s="385" customFormat="1" ht="18.75" customHeight="1" thickTop="1">
      <c r="A20" s="384"/>
      <c r="B20" s="400" t="s">
        <v>14</v>
      </c>
      <c r="C20" s="401" t="s">
        <v>15</v>
      </c>
      <c r="D20" s="402"/>
      <c r="E20" s="403">
        <v>9</v>
      </c>
      <c r="F20" s="402">
        <f>IF(E20&lt;&gt;"", E20, "")</f>
        <v>9</v>
      </c>
      <c r="G20" s="404" t="s">
        <v>16</v>
      </c>
      <c r="H20" s="384"/>
      <c r="I20" s="384"/>
      <c r="J20" s="384"/>
      <c r="K20" s="384"/>
      <c r="L20" s="384"/>
      <c r="M20" s="384"/>
      <c r="N20" s="384"/>
      <c r="O20" s="384"/>
      <c r="P20" s="384"/>
      <c r="Q20" s="384"/>
    </row>
    <row r="21" spans="1:44" s="385" customFormat="1" ht="18">
      <c r="A21" s="384"/>
      <c r="B21" s="400" t="s">
        <v>17</v>
      </c>
      <c r="C21" s="401" t="s">
        <v>18</v>
      </c>
      <c r="D21" s="402"/>
      <c r="E21" s="405">
        <v>9</v>
      </c>
      <c r="F21" s="402">
        <f>IF(E21&lt;&gt;"", E21, "")</f>
        <v>9</v>
      </c>
      <c r="G21" s="404" t="s">
        <v>16</v>
      </c>
      <c r="H21" s="384"/>
      <c r="I21" s="384"/>
      <c r="J21" s="384"/>
      <c r="K21" s="384"/>
      <c r="L21" s="384"/>
      <c r="M21" s="384"/>
      <c r="N21" s="384"/>
      <c r="O21" s="384"/>
      <c r="P21" s="384"/>
      <c r="Q21" s="384"/>
    </row>
    <row r="22" spans="1:44" s="385" customFormat="1" ht="20.399999999999999">
      <c r="A22" s="384"/>
      <c r="B22" s="400" t="s">
        <v>297</v>
      </c>
      <c r="C22" s="401" t="s">
        <v>19</v>
      </c>
      <c r="D22" s="402"/>
      <c r="E22" s="405">
        <v>125</v>
      </c>
      <c r="F22" s="402">
        <f>IF(E22&lt;&gt;"", E22, "")</f>
        <v>125</v>
      </c>
      <c r="G22" s="404" t="s">
        <v>20</v>
      </c>
      <c r="H22" s="384"/>
      <c r="I22" s="384"/>
      <c r="J22" s="384"/>
      <c r="K22" s="384"/>
      <c r="L22" s="384"/>
      <c r="M22" s="384"/>
      <c r="N22" s="384"/>
      <c r="O22" s="384"/>
      <c r="P22" s="384"/>
      <c r="Q22" s="384"/>
    </row>
    <row r="23" spans="1:44" s="385" customFormat="1" ht="18.75" customHeight="1" thickBot="1">
      <c r="A23" s="384"/>
      <c r="B23" s="406" t="s">
        <v>299</v>
      </c>
      <c r="C23" s="407" t="s">
        <v>21</v>
      </c>
      <c r="D23" s="408"/>
      <c r="E23" s="409">
        <v>125</v>
      </c>
      <c r="F23" s="408">
        <f>IF(E23&lt;&gt;"", E23, "")</f>
        <v>125</v>
      </c>
      <c r="G23" s="410" t="s">
        <v>20</v>
      </c>
      <c r="H23" s="384"/>
      <c r="I23" s="384"/>
      <c r="J23" s="384"/>
      <c r="K23" s="384"/>
      <c r="L23" s="384"/>
      <c r="M23" s="384"/>
      <c r="N23" s="384"/>
      <c r="O23" s="384"/>
      <c r="P23" s="384"/>
      <c r="Q23" s="384"/>
    </row>
    <row r="24" spans="1:44" s="385" customFormat="1" ht="18.75" customHeight="1" thickTop="1">
      <c r="A24" s="384"/>
      <c r="B24" s="384"/>
      <c r="C24" s="384"/>
      <c r="D24" s="411"/>
      <c r="E24" s="384"/>
      <c r="F24" s="412"/>
      <c r="G24" s="413"/>
      <c r="H24" s="413"/>
      <c r="I24" s="129"/>
      <c r="J24" s="414"/>
      <c r="K24" s="384"/>
      <c r="L24" s="384"/>
      <c r="M24" s="384"/>
      <c r="N24" s="384"/>
      <c r="O24" s="384"/>
      <c r="P24" s="384"/>
      <c r="Q24" s="384"/>
    </row>
    <row r="25" spans="1:44" ht="20.25" customHeight="1">
      <c r="A25" s="384"/>
      <c r="B25" s="384"/>
      <c r="C25" s="384"/>
      <c r="D25" s="384"/>
      <c r="E25" s="384"/>
      <c r="F25" s="384"/>
      <c r="G25" s="384"/>
      <c r="H25" s="384"/>
      <c r="I25" s="384"/>
      <c r="J25" s="384"/>
      <c r="K25" s="384"/>
      <c r="L25" s="384"/>
      <c r="M25" s="384"/>
      <c r="N25" s="384"/>
      <c r="O25" s="384"/>
      <c r="P25" s="384"/>
      <c r="Q25" s="384"/>
      <c r="R25" s="385"/>
      <c r="S25" s="385"/>
      <c r="T25" s="385"/>
      <c r="U25" s="385"/>
      <c r="V25" s="385"/>
      <c r="W25" s="385"/>
      <c r="X25" s="385"/>
      <c r="Y25" s="385"/>
      <c r="Z25" s="385"/>
      <c r="AA25" s="385"/>
      <c r="AB25" s="385"/>
      <c r="AC25" s="385"/>
      <c r="AD25" s="385"/>
      <c r="AE25" s="385"/>
      <c r="AF25" s="385"/>
      <c r="AG25" s="385"/>
      <c r="AH25" s="385"/>
      <c r="AI25" s="385"/>
      <c r="AJ25" s="385"/>
      <c r="AK25" s="385"/>
      <c r="AL25" s="385"/>
      <c r="AM25" s="385"/>
      <c r="AN25" s="385"/>
      <c r="AO25" s="385"/>
      <c r="AP25" s="385"/>
      <c r="AQ25" s="385"/>
      <c r="AR25" s="385"/>
    </row>
    <row r="26" spans="1:44" ht="54.9" customHeight="1">
      <c r="A26" s="384"/>
      <c r="B26" s="384"/>
      <c r="C26" s="384"/>
      <c r="D26" s="384"/>
      <c r="E26" s="384"/>
      <c r="F26" s="384"/>
      <c r="G26" s="384"/>
      <c r="H26" s="384"/>
      <c r="I26" s="384"/>
      <c r="J26" s="384"/>
      <c r="K26" s="384"/>
      <c r="L26" s="384"/>
      <c r="M26" s="384"/>
      <c r="N26" s="384"/>
      <c r="O26" s="384"/>
      <c r="P26" s="384"/>
      <c r="Q26" s="384"/>
      <c r="R26" s="385"/>
      <c r="S26" s="385"/>
      <c r="T26" s="385"/>
      <c r="U26" s="385"/>
      <c r="V26" s="385"/>
      <c r="W26" s="385"/>
      <c r="X26" s="385"/>
      <c r="Y26" s="385"/>
      <c r="Z26" s="385"/>
      <c r="AA26" s="385"/>
      <c r="AB26" s="385"/>
      <c r="AC26" s="385"/>
      <c r="AD26" s="385"/>
      <c r="AE26" s="385"/>
      <c r="AF26" s="385"/>
      <c r="AG26" s="385"/>
      <c r="AH26" s="385"/>
      <c r="AI26" s="385"/>
      <c r="AJ26" s="385"/>
      <c r="AK26" s="385"/>
      <c r="AL26" s="385"/>
      <c r="AM26" s="385"/>
      <c r="AN26" s="385"/>
      <c r="AO26" s="385"/>
      <c r="AP26" s="385"/>
      <c r="AQ26" s="385"/>
      <c r="AR26" s="385"/>
    </row>
    <row r="27" spans="1:44" ht="20.25" customHeight="1">
      <c r="A27" s="415">
        <v>1</v>
      </c>
      <c r="B27" s="384"/>
      <c r="C27" s="384"/>
      <c r="D27" s="384"/>
      <c r="E27" s="384"/>
      <c r="F27" s="384"/>
      <c r="G27" s="384"/>
      <c r="H27" s="384"/>
      <c r="I27" s="384"/>
      <c r="J27" s="384"/>
      <c r="K27" s="384"/>
      <c r="L27" s="384"/>
      <c r="M27" s="384"/>
      <c r="N27" s="384"/>
      <c r="O27" s="384"/>
      <c r="P27" s="384"/>
      <c r="Q27" s="384"/>
      <c r="R27" s="385"/>
      <c r="S27" s="385"/>
      <c r="T27" s="385"/>
      <c r="U27" s="385"/>
      <c r="V27" s="385"/>
      <c r="W27" s="385"/>
      <c r="X27" s="385"/>
      <c r="Y27" s="385"/>
      <c r="Z27" s="385"/>
      <c r="AA27" s="385"/>
      <c r="AB27" s="385"/>
      <c r="AC27" s="385"/>
      <c r="AD27" s="385"/>
      <c r="AE27" s="385"/>
      <c r="AF27" s="385"/>
      <c r="AG27" s="385"/>
      <c r="AH27" s="385"/>
      <c r="AI27" s="385"/>
      <c r="AJ27" s="385"/>
      <c r="AK27" s="385"/>
      <c r="AL27" s="385"/>
      <c r="AM27" s="385"/>
      <c r="AN27" s="385"/>
      <c r="AO27" s="385"/>
      <c r="AP27" s="385"/>
      <c r="AQ27" s="385"/>
      <c r="AR27" s="385"/>
    </row>
    <row r="28" spans="1:44" ht="20.25" customHeight="1">
      <c r="A28" s="415">
        <v>2</v>
      </c>
      <c r="B28" s="384"/>
      <c r="C28" s="384"/>
      <c r="D28" s="384"/>
      <c r="E28" s="384"/>
      <c r="F28" s="384"/>
      <c r="G28" s="384"/>
      <c r="H28" s="384"/>
      <c r="I28" s="384"/>
      <c r="J28" s="384"/>
      <c r="K28" s="384"/>
      <c r="L28" s="384"/>
      <c r="M28" s="384"/>
      <c r="N28" s="384"/>
      <c r="O28" s="384"/>
      <c r="P28" s="384"/>
      <c r="Q28" s="384"/>
      <c r="R28" s="385"/>
      <c r="S28" s="385"/>
      <c r="T28" s="385"/>
      <c r="U28" s="385"/>
      <c r="V28" s="385"/>
      <c r="W28" s="385"/>
      <c r="X28" s="385"/>
      <c r="Y28" s="385"/>
      <c r="Z28" s="385"/>
      <c r="AA28" s="385"/>
      <c r="AB28" s="385"/>
      <c r="AC28" s="385"/>
      <c r="AD28" s="385"/>
      <c r="AE28" s="385"/>
      <c r="AF28" s="385"/>
      <c r="AG28" s="385"/>
      <c r="AH28" s="385"/>
      <c r="AI28" s="385"/>
      <c r="AJ28" s="385"/>
      <c r="AK28" s="385"/>
      <c r="AL28" s="385"/>
      <c r="AM28" s="385"/>
      <c r="AN28" s="385"/>
      <c r="AO28" s="385"/>
      <c r="AP28" s="385"/>
      <c r="AQ28" s="385"/>
      <c r="AR28" s="385"/>
    </row>
    <row r="29" spans="1:44" ht="20.25" customHeight="1">
      <c r="A29" s="415">
        <v>3</v>
      </c>
      <c r="B29" s="384"/>
      <c r="C29" s="384"/>
      <c r="D29" s="384"/>
      <c r="E29" s="384"/>
      <c r="F29" s="384"/>
      <c r="G29" s="384"/>
      <c r="H29" s="384"/>
      <c r="I29" s="384"/>
      <c r="J29" s="384"/>
      <c r="K29" s="384"/>
      <c r="L29" s="384"/>
      <c r="M29" s="384"/>
      <c r="N29" s="384"/>
      <c r="O29" s="384"/>
      <c r="P29" s="384"/>
      <c r="Q29" s="384"/>
      <c r="R29" s="385"/>
      <c r="S29" s="385"/>
      <c r="T29" s="385"/>
      <c r="U29" s="385"/>
      <c r="V29" s="385"/>
      <c r="W29" s="385"/>
      <c r="X29" s="385"/>
      <c r="Y29" s="385"/>
      <c r="Z29" s="385"/>
      <c r="AA29" s="385"/>
      <c r="AB29" s="385"/>
      <c r="AC29" s="385"/>
      <c r="AD29" s="385"/>
      <c r="AE29" s="385"/>
      <c r="AF29" s="385"/>
      <c r="AG29" s="385"/>
      <c r="AH29" s="385"/>
      <c r="AI29" s="385"/>
      <c r="AJ29" s="385"/>
      <c r="AK29" s="385"/>
      <c r="AL29" s="385"/>
      <c r="AM29" s="385"/>
      <c r="AN29" s="385"/>
      <c r="AO29" s="385"/>
      <c r="AP29" s="385"/>
      <c r="AQ29" s="385"/>
      <c r="AR29" s="385"/>
    </row>
    <row r="30" spans="1:44" ht="20.25" customHeight="1">
      <c r="A30" s="415">
        <v>4</v>
      </c>
      <c r="B30" s="384"/>
      <c r="C30" s="384"/>
      <c r="D30" s="384"/>
      <c r="E30" s="384"/>
      <c r="F30" s="384"/>
      <c r="G30" s="384"/>
      <c r="H30" s="384"/>
      <c r="I30" s="384"/>
      <c r="J30" s="384"/>
      <c r="K30" s="384"/>
      <c r="L30" s="384"/>
      <c r="M30" s="384"/>
      <c r="N30" s="384"/>
      <c r="O30" s="384"/>
      <c r="P30" s="384"/>
      <c r="Q30" s="384"/>
      <c r="R30" s="385"/>
      <c r="S30" s="385"/>
      <c r="T30" s="385"/>
      <c r="U30" s="385"/>
      <c r="V30" s="385"/>
      <c r="W30" s="385"/>
      <c r="X30" s="385"/>
      <c r="Y30" s="385"/>
      <c r="Z30" s="385"/>
      <c r="AA30" s="385"/>
      <c r="AB30" s="385"/>
      <c r="AC30" s="385"/>
      <c r="AD30" s="385"/>
      <c r="AE30" s="385"/>
      <c r="AF30" s="385"/>
      <c r="AG30" s="385"/>
      <c r="AH30" s="385"/>
      <c r="AI30" s="385"/>
      <c r="AJ30" s="385"/>
      <c r="AK30" s="385"/>
      <c r="AL30" s="385"/>
      <c r="AM30" s="385"/>
      <c r="AN30" s="385"/>
      <c r="AO30" s="385"/>
      <c r="AP30" s="385"/>
      <c r="AQ30" s="385"/>
      <c r="AR30" s="385"/>
    </row>
    <row r="31" spans="1:44" ht="20.25" customHeight="1">
      <c r="A31" s="415">
        <v>5</v>
      </c>
      <c r="B31" s="384"/>
      <c r="C31" s="384"/>
      <c r="D31" s="384"/>
      <c r="E31" s="384"/>
      <c r="F31" s="384"/>
      <c r="G31" s="384"/>
      <c r="H31" s="384"/>
      <c r="I31" s="384"/>
      <c r="J31" s="384"/>
      <c r="K31" s="384"/>
      <c r="L31" s="384"/>
      <c r="M31" s="384"/>
      <c r="N31" s="384"/>
      <c r="O31" s="384"/>
      <c r="P31" s="384"/>
      <c r="Q31" s="384"/>
      <c r="R31" s="385"/>
      <c r="S31" s="385"/>
      <c r="T31" s="385"/>
      <c r="U31" s="385"/>
      <c r="V31" s="385"/>
      <c r="W31" s="385"/>
      <c r="X31" s="385"/>
      <c r="Y31" s="385"/>
      <c r="Z31" s="385"/>
      <c r="AA31" s="385"/>
      <c r="AB31" s="385"/>
      <c r="AC31" s="385"/>
      <c r="AD31" s="385"/>
      <c r="AE31" s="385"/>
      <c r="AF31" s="385"/>
      <c r="AG31" s="385"/>
      <c r="AH31" s="385"/>
      <c r="AI31" s="385"/>
      <c r="AJ31" s="385"/>
      <c r="AK31" s="385"/>
      <c r="AL31" s="385"/>
      <c r="AM31" s="385"/>
      <c r="AN31" s="385"/>
      <c r="AO31" s="385"/>
      <c r="AP31" s="385"/>
      <c r="AQ31" s="385"/>
      <c r="AR31" s="385"/>
    </row>
    <row r="32" spans="1:44" ht="20.25" customHeight="1">
      <c r="A32" s="415">
        <v>6</v>
      </c>
      <c r="B32" s="384"/>
      <c r="C32" s="384"/>
      <c r="D32" s="384"/>
      <c r="E32" s="384"/>
      <c r="F32" s="384"/>
      <c r="G32" s="384"/>
      <c r="H32" s="384"/>
      <c r="I32" s="384"/>
      <c r="J32" s="384"/>
      <c r="K32" s="384"/>
      <c r="L32" s="384"/>
      <c r="M32" s="384"/>
      <c r="N32" s="384"/>
      <c r="O32" s="384"/>
      <c r="P32" s="384"/>
      <c r="Q32" s="384"/>
      <c r="R32" s="385"/>
      <c r="S32" s="385"/>
      <c r="T32" s="385"/>
      <c r="U32" s="385"/>
      <c r="V32" s="385"/>
      <c r="W32" s="385"/>
      <c r="X32" s="385"/>
      <c r="Y32" s="385"/>
      <c r="Z32" s="385"/>
      <c r="AA32" s="385"/>
      <c r="AB32" s="385"/>
      <c r="AC32" s="385"/>
      <c r="AD32" s="385"/>
      <c r="AE32" s="385"/>
      <c r="AF32" s="385"/>
      <c r="AG32" s="385"/>
      <c r="AH32" s="385"/>
      <c r="AI32" s="385"/>
      <c r="AJ32" s="385"/>
      <c r="AK32" s="385"/>
      <c r="AL32" s="385"/>
      <c r="AM32" s="385"/>
      <c r="AN32" s="385"/>
      <c r="AO32" s="385"/>
      <c r="AP32" s="385"/>
      <c r="AQ32" s="385"/>
      <c r="AR32" s="385"/>
    </row>
    <row r="33" spans="1:44" ht="20.25" customHeight="1">
      <c r="A33" s="415">
        <v>7</v>
      </c>
      <c r="B33" s="384"/>
      <c r="C33" s="384"/>
      <c r="D33" s="384"/>
      <c r="E33" s="384"/>
      <c r="F33" s="384"/>
      <c r="G33" s="384"/>
      <c r="H33" s="384"/>
      <c r="I33" s="384"/>
      <c r="J33" s="384"/>
      <c r="K33" s="384"/>
      <c r="L33" s="384"/>
      <c r="M33" s="384"/>
      <c r="N33" s="384"/>
      <c r="O33" s="384"/>
      <c r="P33" s="384"/>
      <c r="Q33" s="384"/>
      <c r="R33" s="385"/>
      <c r="S33" s="385"/>
      <c r="T33" s="385"/>
      <c r="U33" s="385"/>
      <c r="V33" s="385"/>
      <c r="W33" s="385"/>
      <c r="X33" s="385"/>
      <c r="Y33" s="385"/>
      <c r="Z33" s="385"/>
      <c r="AA33" s="385"/>
      <c r="AB33" s="385"/>
      <c r="AC33" s="385"/>
      <c r="AD33" s="385"/>
      <c r="AE33" s="385"/>
      <c r="AF33" s="385"/>
      <c r="AG33" s="385"/>
      <c r="AH33" s="385"/>
      <c r="AI33" s="385"/>
      <c r="AJ33" s="385"/>
      <c r="AK33" s="385"/>
      <c r="AL33" s="385"/>
      <c r="AM33" s="385"/>
      <c r="AN33" s="385"/>
      <c r="AO33" s="385"/>
      <c r="AP33" s="385"/>
      <c r="AQ33" s="385"/>
      <c r="AR33" s="385"/>
    </row>
    <row r="34" spans="1:44" ht="20.25" customHeight="1">
      <c r="A34" s="415"/>
      <c r="B34" s="384"/>
      <c r="C34" s="384"/>
      <c r="D34" s="384"/>
      <c r="E34" s="384"/>
      <c r="F34" s="384"/>
      <c r="G34" s="384"/>
      <c r="H34" s="384"/>
      <c r="I34" s="384"/>
      <c r="J34" s="384"/>
      <c r="K34" s="384"/>
      <c r="L34" s="384"/>
      <c r="M34" s="384"/>
      <c r="N34" s="384"/>
      <c r="O34" s="384"/>
      <c r="P34" s="384"/>
      <c r="Q34" s="384"/>
      <c r="R34" s="385"/>
      <c r="S34" s="385"/>
      <c r="T34" s="385"/>
      <c r="U34" s="385"/>
      <c r="V34" s="385"/>
      <c r="W34" s="385"/>
      <c r="X34" s="385"/>
      <c r="Y34" s="385"/>
      <c r="Z34" s="385"/>
      <c r="AA34" s="385"/>
      <c r="AB34" s="385"/>
      <c r="AC34" s="385"/>
      <c r="AD34" s="385"/>
      <c r="AE34" s="385"/>
      <c r="AF34" s="385"/>
      <c r="AG34" s="385"/>
      <c r="AH34" s="385"/>
      <c r="AI34" s="385"/>
      <c r="AJ34" s="385"/>
      <c r="AK34" s="385"/>
      <c r="AL34" s="385"/>
      <c r="AM34" s="385"/>
      <c r="AN34" s="385"/>
      <c r="AO34" s="385"/>
      <c r="AP34" s="385"/>
      <c r="AQ34" s="385"/>
      <c r="AR34" s="385"/>
    </row>
    <row r="35" spans="1:44" ht="38.1" customHeight="1">
      <c r="A35" s="384"/>
      <c r="B35" s="384"/>
      <c r="C35" s="384"/>
      <c r="D35" s="384"/>
      <c r="E35" s="384"/>
      <c r="F35" s="416"/>
      <c r="G35" s="416"/>
      <c r="H35" s="416"/>
      <c r="I35" s="414"/>
      <c r="J35" s="414"/>
      <c r="K35" s="384"/>
      <c r="L35" s="384"/>
      <c r="M35" s="384"/>
      <c r="N35" s="384"/>
      <c r="O35" s="384"/>
      <c r="P35" s="384"/>
      <c r="Q35" s="384"/>
      <c r="R35" s="385"/>
      <c r="S35" s="385"/>
      <c r="T35" s="385"/>
      <c r="U35" s="385"/>
      <c r="V35" s="385"/>
      <c r="W35" s="385"/>
      <c r="X35" s="385"/>
      <c r="Y35" s="385"/>
      <c r="Z35" s="385"/>
      <c r="AA35" s="385"/>
      <c r="AB35" s="385"/>
      <c r="AC35" s="385"/>
      <c r="AD35" s="385"/>
      <c r="AE35" s="385"/>
      <c r="AF35" s="385"/>
      <c r="AG35" s="385"/>
      <c r="AH35" s="385"/>
      <c r="AI35" s="385"/>
      <c r="AJ35" s="385"/>
      <c r="AK35" s="385"/>
      <c r="AL35" s="385"/>
      <c r="AM35" s="385"/>
      <c r="AN35" s="385"/>
      <c r="AO35" s="385"/>
      <c r="AP35" s="385"/>
      <c r="AQ35" s="385"/>
      <c r="AR35" s="385"/>
    </row>
    <row r="36" spans="1:44" ht="20.25" customHeight="1">
      <c r="A36" s="384"/>
      <c r="B36" s="384"/>
      <c r="C36" s="384"/>
      <c r="D36" s="384"/>
      <c r="E36" s="384"/>
      <c r="F36" s="384"/>
      <c r="G36" s="384"/>
      <c r="H36" s="417"/>
      <c r="I36" s="384"/>
      <c r="J36" s="384"/>
      <c r="K36" s="384"/>
      <c r="L36" s="384"/>
      <c r="M36" s="384"/>
      <c r="N36" s="384"/>
      <c r="O36" s="384"/>
      <c r="P36" s="384"/>
      <c r="Q36" s="384"/>
      <c r="R36" s="385"/>
      <c r="S36" s="385"/>
      <c r="T36" s="385"/>
      <c r="U36" s="385"/>
      <c r="V36" s="385"/>
      <c r="W36" s="385"/>
      <c r="X36" s="385"/>
      <c r="Y36" s="385"/>
      <c r="Z36" s="385"/>
      <c r="AA36" s="385"/>
      <c r="AB36" s="385"/>
      <c r="AC36" s="385"/>
      <c r="AD36" s="385"/>
      <c r="AE36" s="385"/>
      <c r="AF36" s="385"/>
      <c r="AG36" s="385"/>
      <c r="AH36" s="385"/>
      <c r="AI36" s="385"/>
      <c r="AJ36" s="385"/>
      <c r="AK36" s="385"/>
      <c r="AL36" s="385"/>
      <c r="AM36" s="385"/>
      <c r="AN36" s="385"/>
      <c r="AO36" s="385"/>
      <c r="AP36" s="385"/>
      <c r="AQ36" s="385"/>
      <c r="AR36" s="385"/>
    </row>
    <row r="37" spans="1:44" ht="20.25" customHeight="1">
      <c r="A37" s="384"/>
      <c r="B37" s="384"/>
      <c r="C37" s="384"/>
      <c r="D37" s="384"/>
      <c r="E37" s="384"/>
      <c r="F37" s="384"/>
      <c r="G37" s="384"/>
      <c r="H37" s="384"/>
      <c r="I37" s="384"/>
      <c r="J37" s="384"/>
      <c r="K37" s="384"/>
      <c r="L37" s="384"/>
      <c r="M37" s="384"/>
      <c r="N37" s="384"/>
      <c r="O37" s="384"/>
      <c r="P37" s="384"/>
      <c r="Q37" s="384"/>
      <c r="R37" s="385"/>
      <c r="S37" s="385"/>
      <c r="T37" s="385"/>
      <c r="U37" s="385"/>
      <c r="V37" s="385"/>
      <c r="W37" s="385"/>
      <c r="X37" s="385"/>
      <c r="Y37" s="385"/>
      <c r="Z37" s="385"/>
      <c r="AA37" s="385"/>
      <c r="AB37" s="385"/>
      <c r="AC37" s="385"/>
      <c r="AD37" s="385"/>
      <c r="AE37" s="385"/>
      <c r="AF37" s="385"/>
      <c r="AG37" s="385"/>
      <c r="AH37" s="385"/>
      <c r="AI37" s="385"/>
      <c r="AJ37" s="385"/>
      <c r="AK37" s="385"/>
      <c r="AL37" s="385"/>
      <c r="AM37" s="385"/>
      <c r="AN37" s="385"/>
      <c r="AO37" s="385"/>
      <c r="AP37" s="385"/>
      <c r="AQ37" s="385"/>
      <c r="AR37" s="385"/>
    </row>
    <row r="38" spans="1:44" ht="20.25" customHeight="1">
      <c r="A38" s="384"/>
      <c r="B38" s="384"/>
      <c r="C38" s="384"/>
      <c r="D38" s="384"/>
      <c r="E38" s="384"/>
      <c r="F38" s="384"/>
      <c r="G38" s="384"/>
      <c r="H38" s="384"/>
      <c r="I38" s="417"/>
      <c r="J38" s="384"/>
      <c r="K38" s="384"/>
      <c r="L38" s="384"/>
      <c r="M38" s="384"/>
      <c r="N38" s="384"/>
      <c r="O38" s="384"/>
      <c r="P38" s="384"/>
      <c r="Q38" s="384"/>
      <c r="R38" s="385"/>
      <c r="S38" s="385"/>
      <c r="T38" s="385"/>
      <c r="U38" s="385"/>
      <c r="V38" s="385"/>
      <c r="W38" s="385"/>
      <c r="X38" s="385"/>
      <c r="Y38" s="385"/>
      <c r="Z38" s="385"/>
      <c r="AA38" s="385"/>
      <c r="AB38" s="385"/>
      <c r="AC38" s="385"/>
      <c r="AD38" s="385"/>
      <c r="AE38" s="385"/>
      <c r="AF38" s="385"/>
      <c r="AG38" s="385"/>
      <c r="AH38" s="385"/>
      <c r="AI38" s="385"/>
      <c r="AJ38" s="385"/>
      <c r="AK38" s="385"/>
      <c r="AL38" s="385"/>
      <c r="AM38" s="385"/>
      <c r="AN38" s="385"/>
      <c r="AO38" s="385"/>
      <c r="AP38" s="385"/>
      <c r="AQ38" s="385"/>
      <c r="AR38" s="385"/>
    </row>
    <row r="39" spans="1:44" ht="20.25" customHeight="1">
      <c r="A39" s="384"/>
      <c r="B39" s="384"/>
      <c r="C39" s="384"/>
      <c r="D39" s="384"/>
      <c r="E39" s="384"/>
      <c r="F39" s="384"/>
      <c r="G39" s="384"/>
      <c r="H39" s="384"/>
      <c r="I39" s="384"/>
      <c r="J39" s="384"/>
      <c r="K39" s="384"/>
      <c r="L39" s="384"/>
      <c r="M39" s="384"/>
      <c r="N39" s="384"/>
      <c r="O39" s="384"/>
      <c r="P39" s="384"/>
      <c r="Q39" s="384"/>
      <c r="R39" s="385"/>
      <c r="S39" s="385"/>
      <c r="T39" s="385"/>
      <c r="U39" s="385"/>
      <c r="V39" s="385"/>
      <c r="W39" s="385"/>
      <c r="X39" s="385"/>
      <c r="Y39" s="385"/>
      <c r="Z39" s="385"/>
      <c r="AA39" s="385"/>
      <c r="AB39" s="385"/>
      <c r="AC39" s="385"/>
      <c r="AD39" s="385"/>
      <c r="AE39" s="385"/>
      <c r="AF39" s="385"/>
      <c r="AG39" s="385"/>
      <c r="AH39" s="385"/>
      <c r="AI39" s="385"/>
      <c r="AJ39" s="385"/>
      <c r="AK39" s="385"/>
      <c r="AL39" s="385"/>
      <c r="AM39" s="385"/>
      <c r="AN39" s="385"/>
      <c r="AO39" s="385"/>
      <c r="AP39" s="385"/>
      <c r="AQ39" s="385"/>
      <c r="AR39" s="385"/>
    </row>
    <row r="40" spans="1:44" ht="20.25" customHeight="1">
      <c r="A40" s="384"/>
      <c r="B40" s="384"/>
      <c r="C40" s="384"/>
      <c r="D40" s="384"/>
      <c r="E40" s="384"/>
      <c r="F40" s="384"/>
      <c r="G40" s="384"/>
      <c r="H40" s="384"/>
      <c r="I40" s="384"/>
      <c r="J40" s="384"/>
      <c r="K40" s="384"/>
      <c r="L40" s="384"/>
      <c r="M40" s="384"/>
      <c r="N40" s="384"/>
      <c r="O40" s="384"/>
      <c r="P40" s="384"/>
      <c r="Q40" s="384"/>
      <c r="R40" s="385"/>
      <c r="S40" s="385"/>
      <c r="T40" s="385"/>
      <c r="U40" s="385"/>
      <c r="V40" s="385"/>
      <c r="W40" s="385"/>
      <c r="X40" s="385"/>
      <c r="Y40" s="385"/>
      <c r="Z40" s="385"/>
      <c r="AA40" s="385"/>
      <c r="AB40" s="385"/>
      <c r="AC40" s="385"/>
      <c r="AD40" s="385"/>
      <c r="AE40" s="385"/>
      <c r="AF40" s="385"/>
      <c r="AG40" s="385"/>
      <c r="AH40" s="385"/>
      <c r="AI40" s="385"/>
      <c r="AJ40" s="385"/>
      <c r="AK40" s="385"/>
      <c r="AL40" s="385"/>
      <c r="AM40" s="385"/>
      <c r="AN40" s="385"/>
      <c r="AO40" s="385"/>
      <c r="AP40" s="385"/>
      <c r="AQ40" s="385"/>
      <c r="AR40" s="385"/>
    </row>
    <row r="41" spans="1:44" ht="20.25" customHeight="1">
      <c r="A41" s="384"/>
      <c r="B41" s="384"/>
      <c r="C41" s="384"/>
      <c r="D41" s="384"/>
      <c r="E41" s="384"/>
      <c r="F41" s="384"/>
      <c r="G41" s="384"/>
      <c r="H41" s="384"/>
      <c r="I41" s="384"/>
      <c r="J41" s="384"/>
      <c r="K41" s="384"/>
      <c r="L41" s="384"/>
      <c r="M41" s="384"/>
      <c r="N41" s="384"/>
      <c r="O41" s="384"/>
      <c r="P41" s="384"/>
      <c r="Q41" s="384"/>
      <c r="R41" s="385"/>
      <c r="S41" s="385"/>
      <c r="T41" s="385"/>
      <c r="U41" s="385"/>
      <c r="V41" s="385"/>
      <c r="W41" s="385"/>
      <c r="X41" s="385"/>
      <c r="Y41" s="385"/>
      <c r="Z41" s="385"/>
      <c r="AA41" s="385"/>
      <c r="AB41" s="385"/>
      <c r="AC41" s="385"/>
      <c r="AD41" s="385"/>
      <c r="AE41" s="385"/>
      <c r="AF41" s="385"/>
      <c r="AG41" s="385"/>
      <c r="AH41" s="385"/>
      <c r="AI41" s="385"/>
      <c r="AJ41" s="385"/>
      <c r="AK41" s="385"/>
      <c r="AL41" s="385"/>
      <c r="AM41" s="385"/>
      <c r="AN41" s="385"/>
      <c r="AO41" s="385"/>
      <c r="AP41" s="385"/>
      <c r="AQ41" s="385"/>
      <c r="AR41" s="385"/>
    </row>
    <row r="42" spans="1:44" ht="20.25" customHeight="1">
      <c r="A42" s="384"/>
      <c r="B42" s="384"/>
      <c r="C42" s="384"/>
      <c r="D42" s="384"/>
      <c r="E42" s="384"/>
      <c r="F42" s="384"/>
      <c r="G42" s="384"/>
      <c r="H42" s="384"/>
      <c r="I42" s="384"/>
      <c r="J42" s="384"/>
      <c r="K42" s="384"/>
      <c r="L42" s="384"/>
      <c r="M42" s="384"/>
      <c r="N42" s="384"/>
      <c r="O42" s="384"/>
      <c r="P42" s="384"/>
      <c r="Q42" s="384"/>
      <c r="R42" s="385"/>
      <c r="S42" s="385"/>
      <c r="T42" s="385"/>
      <c r="U42" s="385"/>
      <c r="V42" s="385"/>
      <c r="W42" s="385"/>
      <c r="X42" s="385"/>
      <c r="Y42" s="385"/>
      <c r="Z42" s="385"/>
      <c r="AA42" s="385"/>
      <c r="AB42" s="385"/>
      <c r="AC42" s="385"/>
      <c r="AD42" s="385"/>
      <c r="AE42" s="385"/>
      <c r="AF42" s="385"/>
      <c r="AG42" s="385"/>
      <c r="AH42" s="385"/>
      <c r="AI42" s="385"/>
      <c r="AJ42" s="385"/>
      <c r="AK42" s="385"/>
      <c r="AL42" s="385"/>
      <c r="AM42" s="385"/>
      <c r="AN42" s="385"/>
      <c r="AO42" s="385"/>
      <c r="AP42" s="385"/>
      <c r="AQ42" s="385"/>
      <c r="AR42" s="385"/>
    </row>
    <row r="43" spans="1:44" ht="20.25" customHeight="1">
      <c r="A43" s="384"/>
      <c r="B43" s="384"/>
      <c r="C43" s="384"/>
      <c r="D43" s="384"/>
      <c r="E43" s="384"/>
      <c r="F43" s="384"/>
      <c r="G43" s="384"/>
      <c r="H43" s="384"/>
      <c r="I43" s="384"/>
      <c r="J43" s="384"/>
      <c r="K43" s="384"/>
      <c r="L43" s="384"/>
      <c r="M43" s="384"/>
      <c r="N43" s="384"/>
      <c r="O43" s="384"/>
      <c r="P43" s="384"/>
      <c r="Q43" s="384"/>
      <c r="R43" s="385"/>
      <c r="S43" s="385"/>
      <c r="T43" s="385"/>
      <c r="U43" s="385"/>
      <c r="V43" s="385"/>
      <c r="W43" s="385"/>
      <c r="X43" s="385"/>
      <c r="Y43" s="385"/>
      <c r="Z43" s="385"/>
      <c r="AA43" s="385"/>
      <c r="AB43" s="385"/>
      <c r="AC43" s="385"/>
      <c r="AD43" s="385"/>
      <c r="AE43" s="385"/>
      <c r="AF43" s="385"/>
      <c r="AG43" s="385"/>
      <c r="AH43" s="385"/>
      <c r="AI43" s="385"/>
      <c r="AJ43" s="385"/>
      <c r="AK43" s="385"/>
      <c r="AL43" s="385"/>
      <c r="AM43" s="385"/>
      <c r="AN43" s="385"/>
      <c r="AO43" s="385"/>
      <c r="AP43" s="385"/>
      <c r="AQ43" s="385"/>
      <c r="AR43" s="385"/>
    </row>
    <row r="44" spans="1:44" ht="20.25" customHeight="1">
      <c r="A44" s="384"/>
      <c r="B44" s="384"/>
      <c r="C44" s="384"/>
      <c r="D44" s="384"/>
      <c r="E44" s="384"/>
      <c r="F44" s="384"/>
      <c r="G44" s="384"/>
      <c r="H44" s="384"/>
      <c r="I44" s="384"/>
      <c r="J44" s="384"/>
      <c r="K44" s="384"/>
      <c r="L44" s="384"/>
      <c r="M44" s="384"/>
      <c r="N44" s="384"/>
      <c r="O44" s="384"/>
      <c r="P44" s="384"/>
      <c r="Q44" s="384"/>
      <c r="R44" s="385"/>
      <c r="S44" s="385"/>
      <c r="T44" s="385"/>
      <c r="U44" s="385"/>
      <c r="V44" s="385"/>
      <c r="W44" s="385"/>
      <c r="X44" s="385"/>
      <c r="Y44" s="385"/>
      <c r="Z44" s="385"/>
      <c r="AA44" s="385"/>
      <c r="AB44" s="385"/>
      <c r="AC44" s="385"/>
      <c r="AD44" s="385"/>
      <c r="AE44" s="385"/>
      <c r="AF44" s="385"/>
      <c r="AG44" s="385"/>
      <c r="AH44" s="385"/>
      <c r="AI44" s="385"/>
      <c r="AJ44" s="385"/>
      <c r="AK44" s="385"/>
      <c r="AL44" s="385"/>
      <c r="AM44" s="385"/>
      <c r="AN44" s="385"/>
      <c r="AO44" s="385"/>
      <c r="AP44" s="385"/>
      <c r="AQ44" s="385"/>
      <c r="AR44" s="385"/>
    </row>
    <row r="45" spans="1:44" ht="20.25" customHeight="1">
      <c r="A45" s="385"/>
      <c r="B45" s="385"/>
      <c r="C45" s="385"/>
      <c r="D45" s="385"/>
      <c r="E45" s="385"/>
      <c r="F45" s="385"/>
      <c r="G45" s="385"/>
      <c r="H45" s="385"/>
      <c r="I45" s="385"/>
      <c r="J45" s="385"/>
      <c r="K45" s="385"/>
      <c r="L45" s="385"/>
      <c r="M45" s="385"/>
      <c r="N45" s="385"/>
      <c r="O45" s="385"/>
      <c r="P45" s="385"/>
      <c r="Q45" s="385"/>
      <c r="R45" s="385"/>
      <c r="S45" s="385"/>
      <c r="T45" s="385"/>
      <c r="U45" s="385"/>
      <c r="V45" s="385"/>
      <c r="W45" s="385"/>
      <c r="X45" s="385"/>
      <c r="Y45" s="385"/>
      <c r="Z45" s="385"/>
      <c r="AA45" s="385"/>
      <c r="AB45" s="385"/>
      <c r="AC45" s="385"/>
      <c r="AD45" s="385"/>
      <c r="AE45" s="385"/>
      <c r="AF45" s="385"/>
      <c r="AG45" s="385"/>
      <c r="AH45" s="385"/>
      <c r="AI45" s="385"/>
      <c r="AJ45" s="385"/>
      <c r="AK45" s="385"/>
      <c r="AL45" s="385"/>
      <c r="AM45" s="385"/>
      <c r="AN45" s="385"/>
      <c r="AO45" s="385"/>
      <c r="AP45" s="385"/>
      <c r="AQ45" s="385"/>
      <c r="AR45" s="385"/>
    </row>
    <row r="46" spans="1:44" ht="20.25" customHeight="1">
      <c r="A46" s="385"/>
      <c r="B46" s="385"/>
      <c r="C46" s="385"/>
      <c r="D46" s="385"/>
      <c r="E46" s="385"/>
      <c r="F46" s="385"/>
      <c r="G46" s="385"/>
      <c r="H46" s="385"/>
      <c r="I46" s="385"/>
      <c r="J46" s="418"/>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85"/>
      <c r="AI46" s="385"/>
      <c r="AJ46" s="385"/>
      <c r="AK46" s="385"/>
      <c r="AL46" s="385"/>
      <c r="AM46" s="385"/>
      <c r="AN46" s="385"/>
      <c r="AO46" s="385"/>
      <c r="AP46" s="385"/>
      <c r="AQ46" s="385"/>
      <c r="AR46" s="385"/>
    </row>
    <row r="47" spans="1:44" ht="20.25" customHeight="1">
      <c r="A47" s="385"/>
      <c r="B47" s="385"/>
      <c r="C47" s="385"/>
      <c r="D47" s="385"/>
      <c r="E47" s="385"/>
      <c r="F47" s="385"/>
      <c r="G47" s="385"/>
      <c r="H47" s="385"/>
      <c r="I47" s="385"/>
      <c r="J47" s="385"/>
      <c r="K47" s="385"/>
      <c r="L47" s="385"/>
      <c r="M47" s="385"/>
      <c r="N47" s="385"/>
      <c r="O47" s="385"/>
      <c r="P47" s="385"/>
      <c r="Q47" s="385"/>
      <c r="R47" s="385"/>
      <c r="S47" s="385"/>
      <c r="T47" s="385"/>
      <c r="U47" s="385"/>
      <c r="V47" s="385"/>
      <c r="W47" s="385"/>
      <c r="X47" s="385"/>
      <c r="Y47" s="385"/>
      <c r="Z47" s="385"/>
      <c r="AA47" s="385"/>
      <c r="AB47" s="385"/>
      <c r="AC47" s="385"/>
      <c r="AD47" s="385"/>
      <c r="AE47" s="385"/>
      <c r="AF47" s="385"/>
      <c r="AG47" s="385"/>
      <c r="AH47" s="385"/>
      <c r="AI47" s="385"/>
      <c r="AJ47" s="385"/>
      <c r="AK47" s="385"/>
      <c r="AL47" s="385"/>
      <c r="AM47" s="385"/>
      <c r="AN47" s="385"/>
      <c r="AO47" s="385"/>
      <c r="AP47" s="385"/>
      <c r="AQ47" s="385"/>
      <c r="AR47" s="385"/>
    </row>
    <row r="48" spans="1:44" ht="20.25" customHeight="1">
      <c r="A48" s="385"/>
      <c r="B48" s="385"/>
      <c r="C48" s="385"/>
      <c r="D48" s="385"/>
      <c r="E48" s="385"/>
      <c r="F48" s="385"/>
      <c r="G48" s="385"/>
      <c r="H48" s="385"/>
      <c r="I48" s="385"/>
      <c r="J48" s="385"/>
      <c r="K48" s="385"/>
      <c r="L48" s="385"/>
      <c r="M48" s="385"/>
      <c r="N48" s="385"/>
      <c r="O48" s="385"/>
      <c r="P48" s="385"/>
      <c r="Q48" s="385"/>
      <c r="R48" s="385"/>
      <c r="S48" s="385"/>
      <c r="T48" s="385"/>
      <c r="U48" s="385"/>
      <c r="V48" s="385"/>
      <c r="W48" s="385"/>
      <c r="X48" s="385"/>
      <c r="Y48" s="385"/>
      <c r="Z48" s="385"/>
      <c r="AA48" s="385"/>
      <c r="AB48" s="385"/>
      <c r="AC48" s="385"/>
      <c r="AD48" s="385"/>
      <c r="AE48" s="385"/>
      <c r="AF48" s="385"/>
      <c r="AG48" s="385"/>
      <c r="AH48" s="385"/>
      <c r="AI48" s="385"/>
      <c r="AJ48" s="385"/>
      <c r="AK48" s="385"/>
      <c r="AL48" s="385"/>
      <c r="AM48" s="385"/>
      <c r="AN48" s="385"/>
      <c r="AO48" s="385"/>
      <c r="AP48" s="385"/>
      <c r="AQ48" s="385"/>
      <c r="AR48" s="385"/>
    </row>
    <row r="49" spans="1:44" ht="20.25" customHeight="1">
      <c r="A49" s="385"/>
      <c r="B49" s="385"/>
      <c r="C49" s="385"/>
      <c r="D49" s="385"/>
      <c r="E49" s="385"/>
      <c r="F49" s="385"/>
      <c r="G49" s="385"/>
      <c r="H49" s="385"/>
      <c r="I49" s="385"/>
      <c r="J49" s="385"/>
      <c r="K49" s="385"/>
      <c r="L49" s="385"/>
      <c r="M49" s="385"/>
      <c r="N49" s="385"/>
      <c r="O49" s="385"/>
      <c r="P49" s="385"/>
      <c r="Q49" s="385"/>
      <c r="R49" s="385"/>
      <c r="S49" s="385"/>
      <c r="T49" s="385"/>
      <c r="U49" s="385"/>
      <c r="V49" s="385"/>
      <c r="W49" s="385"/>
      <c r="X49" s="385"/>
      <c r="Y49" s="385"/>
      <c r="Z49" s="385"/>
      <c r="AA49" s="385"/>
      <c r="AB49" s="385"/>
      <c r="AC49" s="385"/>
      <c r="AD49" s="385"/>
      <c r="AE49" s="385"/>
      <c r="AF49" s="385"/>
      <c r="AG49" s="385"/>
      <c r="AH49" s="385"/>
      <c r="AI49" s="385"/>
      <c r="AJ49" s="385"/>
      <c r="AK49" s="385"/>
      <c r="AL49" s="385"/>
      <c r="AM49" s="385"/>
      <c r="AN49" s="385"/>
      <c r="AO49" s="385"/>
      <c r="AP49" s="385"/>
      <c r="AQ49" s="385"/>
      <c r="AR49" s="385"/>
    </row>
    <row r="50" spans="1:44" ht="20.25" customHeight="1">
      <c r="A50" s="385"/>
      <c r="B50" s="385"/>
      <c r="C50" s="385"/>
      <c r="D50" s="385"/>
      <c r="E50" s="385"/>
      <c r="F50" s="385"/>
      <c r="G50" s="385"/>
      <c r="H50" s="385"/>
      <c r="I50" s="385"/>
      <c r="J50" s="385"/>
      <c r="K50" s="385"/>
      <c r="L50" s="385"/>
      <c r="M50" s="385"/>
      <c r="N50" s="385"/>
      <c r="O50" s="385"/>
      <c r="P50" s="385"/>
      <c r="Q50" s="385"/>
      <c r="R50" s="385"/>
      <c r="S50" s="385"/>
      <c r="T50" s="385"/>
      <c r="U50" s="385"/>
      <c r="V50" s="385"/>
      <c r="W50" s="385"/>
      <c r="X50" s="385"/>
      <c r="Y50" s="385"/>
      <c r="Z50" s="385"/>
      <c r="AA50" s="385"/>
      <c r="AB50" s="385"/>
      <c r="AC50" s="385"/>
      <c r="AD50" s="385"/>
      <c r="AE50" s="385"/>
      <c r="AF50" s="385"/>
      <c r="AG50" s="385"/>
      <c r="AH50" s="385"/>
      <c r="AI50" s="385"/>
      <c r="AJ50" s="385"/>
      <c r="AK50" s="385"/>
      <c r="AL50" s="385"/>
      <c r="AM50" s="385"/>
      <c r="AN50" s="385"/>
      <c r="AO50" s="385"/>
      <c r="AP50" s="385"/>
      <c r="AQ50" s="385"/>
      <c r="AR50" s="385"/>
    </row>
    <row r="51" spans="1:44" ht="20.25" customHeight="1">
      <c r="A51" s="385"/>
      <c r="B51" s="385"/>
      <c r="C51" s="385"/>
      <c r="D51" s="385"/>
      <c r="E51" s="385"/>
      <c r="F51" s="385"/>
      <c r="G51" s="385"/>
      <c r="H51" s="385"/>
      <c r="I51" s="385"/>
      <c r="J51" s="385"/>
      <c r="K51" s="385"/>
      <c r="L51" s="385"/>
      <c r="M51" s="385"/>
      <c r="N51" s="385"/>
      <c r="O51" s="385"/>
      <c r="P51" s="385"/>
      <c r="Q51" s="385"/>
      <c r="R51" s="385"/>
      <c r="S51" s="385"/>
      <c r="T51" s="385"/>
      <c r="U51" s="385"/>
      <c r="V51" s="385"/>
      <c r="W51" s="385"/>
      <c r="X51" s="385"/>
      <c r="Y51" s="385"/>
      <c r="Z51" s="385"/>
      <c r="AA51" s="385"/>
      <c r="AB51" s="385"/>
      <c r="AC51" s="385"/>
      <c r="AD51" s="385"/>
      <c r="AE51" s="385"/>
      <c r="AF51" s="385"/>
      <c r="AG51" s="385"/>
      <c r="AH51" s="385"/>
      <c r="AI51" s="385"/>
      <c r="AJ51" s="385"/>
      <c r="AK51" s="385"/>
      <c r="AL51" s="385"/>
      <c r="AM51" s="385"/>
      <c r="AN51" s="385"/>
      <c r="AO51" s="385"/>
      <c r="AP51" s="385"/>
      <c r="AQ51" s="385"/>
      <c r="AR51" s="385"/>
    </row>
    <row r="52" spans="1:44" ht="20.25" customHeight="1">
      <c r="A52" s="385"/>
      <c r="B52" s="385"/>
      <c r="C52" s="385"/>
      <c r="D52" s="385"/>
      <c r="E52" s="385"/>
      <c r="F52" s="385"/>
      <c r="G52" s="385"/>
      <c r="H52" s="385"/>
      <c r="I52" s="385"/>
      <c r="J52" s="385"/>
      <c r="K52" s="385"/>
      <c r="L52" s="385"/>
      <c r="M52" s="385"/>
      <c r="N52" s="385"/>
      <c r="O52" s="385"/>
      <c r="P52" s="385"/>
      <c r="Q52" s="385"/>
      <c r="R52" s="385"/>
      <c r="S52" s="385"/>
      <c r="T52" s="385"/>
      <c r="U52" s="385"/>
      <c r="V52" s="385"/>
      <c r="W52" s="385"/>
      <c r="X52" s="385"/>
      <c r="Y52" s="385"/>
      <c r="Z52" s="385"/>
      <c r="AA52" s="385"/>
      <c r="AB52" s="385"/>
      <c r="AC52" s="385"/>
      <c r="AD52" s="385"/>
      <c r="AE52" s="385"/>
      <c r="AF52" s="385"/>
      <c r="AG52" s="385"/>
      <c r="AH52" s="385"/>
      <c r="AI52" s="385"/>
      <c r="AJ52" s="385"/>
      <c r="AK52" s="385"/>
      <c r="AL52" s="385"/>
      <c r="AM52" s="385"/>
      <c r="AN52" s="385"/>
      <c r="AO52" s="385"/>
      <c r="AP52" s="385"/>
      <c r="AQ52" s="385"/>
      <c r="AR52" s="385"/>
    </row>
    <row r="53" spans="1:44" ht="20.25" customHeight="1">
      <c r="A53" s="385"/>
      <c r="B53" s="385"/>
      <c r="C53" s="385"/>
      <c r="D53" s="385"/>
      <c r="E53" s="385"/>
      <c r="F53" s="385"/>
      <c r="G53" s="385"/>
      <c r="H53" s="385"/>
      <c r="I53" s="385"/>
      <c r="J53" s="385"/>
      <c r="K53" s="385"/>
      <c r="L53" s="385"/>
      <c r="M53" s="385"/>
      <c r="N53" s="385"/>
      <c r="O53" s="385"/>
      <c r="P53" s="385"/>
      <c r="Q53" s="385"/>
      <c r="R53" s="385"/>
      <c r="S53" s="385"/>
      <c r="T53" s="385"/>
      <c r="U53" s="385"/>
      <c r="V53" s="385"/>
      <c r="W53" s="385"/>
      <c r="X53" s="385"/>
      <c r="Y53" s="385"/>
      <c r="Z53" s="385"/>
      <c r="AA53" s="385"/>
      <c r="AB53" s="385"/>
      <c r="AC53" s="385"/>
      <c r="AD53" s="385"/>
      <c r="AE53" s="385"/>
      <c r="AF53" s="385"/>
      <c r="AG53" s="385"/>
      <c r="AH53" s="385"/>
      <c r="AI53" s="385"/>
      <c r="AJ53" s="385"/>
      <c r="AK53" s="385"/>
      <c r="AL53" s="385"/>
      <c r="AM53" s="385"/>
      <c r="AN53" s="385"/>
      <c r="AO53" s="385"/>
      <c r="AP53" s="385"/>
      <c r="AQ53" s="385"/>
      <c r="AR53" s="385"/>
    </row>
    <row r="54" spans="1:44" ht="20.25" customHeight="1">
      <c r="A54" s="385"/>
      <c r="B54" s="385"/>
      <c r="C54" s="385"/>
      <c r="D54" s="385"/>
      <c r="E54" s="385"/>
      <c r="F54" s="385"/>
      <c r="G54" s="385"/>
      <c r="H54" s="385"/>
      <c r="I54" s="385"/>
      <c r="J54" s="385"/>
      <c r="K54" s="385"/>
      <c r="L54" s="385"/>
      <c r="M54" s="385"/>
      <c r="N54" s="385"/>
      <c r="O54" s="385"/>
      <c r="P54" s="385"/>
      <c r="Q54" s="385"/>
      <c r="R54" s="385"/>
      <c r="S54" s="385"/>
      <c r="T54" s="385"/>
      <c r="U54" s="385"/>
      <c r="V54" s="385"/>
      <c r="W54" s="385"/>
      <c r="X54" s="385"/>
      <c r="Y54" s="385"/>
      <c r="Z54" s="385"/>
      <c r="AA54" s="385"/>
      <c r="AB54" s="385"/>
      <c r="AC54" s="385"/>
      <c r="AD54" s="385"/>
      <c r="AE54" s="385"/>
      <c r="AF54" s="385"/>
      <c r="AG54" s="385"/>
      <c r="AH54" s="385"/>
      <c r="AI54" s="385"/>
      <c r="AJ54" s="385"/>
      <c r="AK54" s="385"/>
      <c r="AL54" s="385"/>
      <c r="AM54" s="385"/>
      <c r="AN54" s="385"/>
      <c r="AO54" s="385"/>
      <c r="AP54" s="385"/>
      <c r="AQ54" s="385"/>
      <c r="AR54" s="385"/>
    </row>
    <row r="55" spans="1:44" ht="20.25" customHeight="1">
      <c r="A55" s="385"/>
      <c r="B55" s="385"/>
      <c r="C55" s="385"/>
      <c r="D55" s="385"/>
      <c r="E55" s="385"/>
      <c r="F55" s="385"/>
      <c r="G55" s="385"/>
      <c r="H55" s="385"/>
      <c r="I55" s="385"/>
      <c r="J55" s="385"/>
      <c r="K55" s="385"/>
      <c r="L55" s="385"/>
      <c r="M55" s="385"/>
      <c r="N55" s="385"/>
      <c r="O55" s="385"/>
      <c r="P55" s="385"/>
      <c r="Q55" s="385"/>
      <c r="R55" s="385"/>
      <c r="S55" s="385"/>
      <c r="T55" s="385"/>
      <c r="U55" s="385"/>
      <c r="V55" s="385"/>
      <c r="W55" s="385"/>
      <c r="X55" s="385"/>
      <c r="Y55" s="385"/>
      <c r="Z55" s="385"/>
      <c r="AA55" s="385"/>
      <c r="AB55" s="385"/>
      <c r="AC55" s="385"/>
      <c r="AD55" s="385"/>
      <c r="AE55" s="385"/>
      <c r="AF55" s="385"/>
      <c r="AG55" s="385"/>
      <c r="AH55" s="385"/>
      <c r="AI55" s="385"/>
      <c r="AJ55" s="385"/>
      <c r="AK55" s="385"/>
      <c r="AL55" s="385"/>
      <c r="AM55" s="385"/>
      <c r="AN55" s="385"/>
      <c r="AO55" s="385"/>
      <c r="AP55" s="385"/>
      <c r="AQ55" s="385"/>
      <c r="AR55" s="385"/>
    </row>
    <row r="56" spans="1:44" ht="20.25" customHeight="1">
      <c r="A56" s="385"/>
      <c r="B56" s="385"/>
      <c r="C56" s="385"/>
      <c r="D56" s="385"/>
      <c r="E56" s="385"/>
      <c r="F56" s="385"/>
      <c r="G56" s="385"/>
      <c r="H56" s="385"/>
      <c r="I56" s="385"/>
      <c r="J56" s="385"/>
      <c r="K56" s="385"/>
      <c r="L56" s="385"/>
      <c r="M56" s="385"/>
      <c r="N56" s="385"/>
      <c r="O56" s="385"/>
      <c r="P56" s="385"/>
      <c r="Q56" s="385"/>
      <c r="R56" s="385"/>
      <c r="S56" s="385"/>
      <c r="T56" s="385"/>
      <c r="U56" s="385"/>
      <c r="V56" s="385"/>
      <c r="W56" s="385"/>
      <c r="X56" s="385"/>
      <c r="Y56" s="385"/>
      <c r="Z56" s="385"/>
      <c r="AA56" s="385"/>
      <c r="AB56" s="385"/>
      <c r="AC56" s="385"/>
      <c r="AD56" s="385"/>
      <c r="AE56" s="385"/>
      <c r="AF56" s="385"/>
      <c r="AG56" s="385"/>
      <c r="AH56" s="385"/>
      <c r="AI56" s="385"/>
      <c r="AJ56" s="385"/>
      <c r="AK56" s="385"/>
      <c r="AL56" s="385"/>
      <c r="AM56" s="385"/>
      <c r="AN56" s="385"/>
      <c r="AO56" s="385"/>
      <c r="AP56" s="385"/>
      <c r="AQ56" s="385"/>
      <c r="AR56" s="385"/>
    </row>
    <row r="57" spans="1:44" ht="20.25" customHeight="1">
      <c r="A57" s="385"/>
      <c r="B57" s="385"/>
      <c r="C57" s="385"/>
      <c r="D57" s="385"/>
      <c r="E57" s="385"/>
      <c r="F57" s="385"/>
      <c r="G57" s="385"/>
      <c r="H57" s="385"/>
      <c r="I57" s="385"/>
      <c r="J57" s="385"/>
      <c r="K57" s="385"/>
      <c r="L57" s="385"/>
      <c r="M57" s="385"/>
      <c r="N57" s="385"/>
      <c r="O57" s="385"/>
      <c r="P57" s="385"/>
      <c r="Q57" s="385"/>
      <c r="R57" s="385"/>
      <c r="S57" s="385"/>
      <c r="T57" s="385"/>
      <c r="U57" s="385"/>
      <c r="V57" s="385"/>
      <c r="W57" s="385"/>
      <c r="X57" s="385"/>
      <c r="Y57" s="385"/>
      <c r="Z57" s="385"/>
      <c r="AA57" s="385"/>
      <c r="AB57" s="385"/>
      <c r="AC57" s="385"/>
      <c r="AD57" s="385"/>
      <c r="AE57" s="385"/>
      <c r="AF57" s="385"/>
      <c r="AG57" s="385"/>
      <c r="AH57" s="385"/>
      <c r="AI57" s="385"/>
      <c r="AJ57" s="385"/>
      <c r="AK57" s="385"/>
      <c r="AL57" s="385"/>
      <c r="AM57" s="385"/>
      <c r="AN57" s="385"/>
      <c r="AO57" s="385"/>
      <c r="AP57" s="385"/>
      <c r="AQ57" s="385"/>
      <c r="AR57" s="385"/>
    </row>
    <row r="58" spans="1:44" ht="20.25" customHeight="1">
      <c r="A58" s="385"/>
      <c r="B58" s="385"/>
      <c r="C58" s="385"/>
      <c r="D58" s="385"/>
      <c r="E58" s="385"/>
      <c r="F58" s="385"/>
      <c r="G58" s="385"/>
      <c r="H58" s="385"/>
      <c r="I58" s="385"/>
      <c r="J58" s="385"/>
      <c r="K58" s="385"/>
      <c r="L58" s="385"/>
      <c r="M58" s="385"/>
      <c r="N58" s="385"/>
      <c r="O58" s="385"/>
      <c r="P58" s="385"/>
      <c r="Q58" s="385"/>
      <c r="R58" s="385"/>
      <c r="S58" s="385"/>
      <c r="T58" s="385"/>
      <c r="U58" s="385"/>
      <c r="V58" s="385"/>
      <c r="W58" s="385"/>
      <c r="X58" s="385"/>
      <c r="Y58" s="385"/>
      <c r="Z58" s="385"/>
      <c r="AA58" s="385"/>
      <c r="AB58" s="385"/>
      <c r="AC58" s="385"/>
      <c r="AD58" s="385"/>
      <c r="AE58" s="385"/>
      <c r="AF58" s="385"/>
      <c r="AG58" s="385"/>
      <c r="AH58" s="385"/>
      <c r="AI58" s="385"/>
      <c r="AJ58" s="385"/>
      <c r="AK58" s="385"/>
      <c r="AL58" s="385"/>
      <c r="AM58" s="385"/>
      <c r="AN58" s="385"/>
      <c r="AO58" s="385"/>
      <c r="AP58" s="385"/>
      <c r="AQ58" s="385"/>
      <c r="AR58" s="385"/>
    </row>
    <row r="59" spans="1:44" ht="20.25" customHeight="1">
      <c r="A59" s="385"/>
      <c r="B59" s="385"/>
      <c r="C59" s="385"/>
      <c r="D59" s="385"/>
      <c r="E59" s="385"/>
      <c r="F59" s="385"/>
      <c r="G59" s="385"/>
      <c r="H59" s="385"/>
      <c r="I59" s="385"/>
      <c r="J59" s="385"/>
      <c r="K59" s="385"/>
      <c r="L59" s="385"/>
      <c r="M59" s="385"/>
      <c r="N59" s="385"/>
      <c r="O59" s="385"/>
      <c r="P59" s="385"/>
      <c r="Q59" s="385"/>
      <c r="R59" s="385"/>
      <c r="S59" s="385"/>
      <c r="T59" s="385"/>
      <c r="U59" s="385"/>
      <c r="V59" s="385"/>
      <c r="W59" s="385"/>
      <c r="X59" s="385"/>
      <c r="Y59" s="385"/>
      <c r="Z59" s="385"/>
      <c r="AA59" s="385"/>
      <c r="AB59" s="385"/>
      <c r="AC59" s="385"/>
      <c r="AD59" s="385"/>
      <c r="AE59" s="385"/>
      <c r="AF59" s="385"/>
      <c r="AG59" s="385"/>
      <c r="AH59" s="385"/>
      <c r="AI59" s="385"/>
      <c r="AJ59" s="385"/>
      <c r="AK59" s="385"/>
      <c r="AL59" s="385"/>
      <c r="AM59" s="385"/>
      <c r="AN59" s="385"/>
      <c r="AO59" s="385"/>
      <c r="AP59" s="385"/>
      <c r="AQ59" s="385"/>
      <c r="AR59" s="385"/>
    </row>
    <row r="60" spans="1:44" ht="20.25" customHeight="1">
      <c r="A60" s="385"/>
      <c r="B60" s="385"/>
      <c r="C60" s="385"/>
      <c r="D60" s="385"/>
      <c r="E60" s="385"/>
      <c r="F60" s="385"/>
      <c r="G60" s="385"/>
      <c r="H60" s="385"/>
      <c r="I60" s="385"/>
      <c r="J60" s="385"/>
      <c r="K60" s="385"/>
      <c r="L60" s="385"/>
      <c r="M60" s="385"/>
      <c r="N60" s="385"/>
      <c r="O60" s="385"/>
      <c r="P60" s="385"/>
      <c r="Q60" s="385"/>
      <c r="R60" s="385"/>
      <c r="S60" s="385"/>
      <c r="T60" s="385"/>
      <c r="U60" s="385"/>
      <c r="V60" s="385"/>
      <c r="W60" s="385"/>
      <c r="X60" s="385"/>
      <c r="Y60" s="385"/>
      <c r="Z60" s="385"/>
      <c r="AA60" s="385"/>
      <c r="AB60" s="385"/>
      <c r="AC60" s="385"/>
      <c r="AD60" s="385"/>
      <c r="AE60" s="385"/>
      <c r="AF60" s="385"/>
      <c r="AG60" s="385"/>
      <c r="AH60" s="385"/>
      <c r="AI60" s="385"/>
      <c r="AJ60" s="385"/>
      <c r="AK60" s="385"/>
      <c r="AL60" s="385"/>
      <c r="AM60" s="385"/>
      <c r="AN60" s="385"/>
      <c r="AO60" s="385"/>
      <c r="AP60" s="385"/>
      <c r="AQ60" s="385"/>
      <c r="AR60" s="385"/>
    </row>
    <row r="61" spans="1:44" ht="20.25" customHeight="1">
      <c r="A61" s="385"/>
      <c r="B61" s="385"/>
      <c r="C61" s="385"/>
      <c r="D61" s="385"/>
      <c r="E61" s="385"/>
      <c r="F61" s="385"/>
      <c r="G61" s="385"/>
      <c r="H61" s="385"/>
      <c r="I61" s="385"/>
      <c r="J61" s="385"/>
      <c r="K61" s="385"/>
      <c r="L61" s="385"/>
      <c r="M61" s="385"/>
      <c r="N61" s="385"/>
      <c r="O61" s="385"/>
      <c r="P61" s="385"/>
      <c r="Q61" s="385"/>
      <c r="R61" s="385"/>
      <c r="S61" s="385"/>
      <c r="T61" s="385"/>
      <c r="U61" s="385"/>
      <c r="V61" s="385"/>
      <c r="W61" s="385"/>
      <c r="X61" s="385"/>
      <c r="Y61" s="385"/>
      <c r="Z61" s="385"/>
      <c r="AA61" s="385"/>
      <c r="AB61" s="385"/>
      <c r="AC61" s="385"/>
      <c r="AD61" s="385"/>
      <c r="AE61" s="385"/>
      <c r="AF61" s="385"/>
      <c r="AG61" s="385"/>
      <c r="AH61" s="385"/>
      <c r="AI61" s="385"/>
      <c r="AJ61" s="385"/>
      <c r="AK61" s="385"/>
      <c r="AL61" s="385"/>
      <c r="AM61" s="385"/>
      <c r="AN61" s="385"/>
      <c r="AO61" s="385"/>
      <c r="AP61" s="385"/>
      <c r="AQ61" s="385"/>
      <c r="AR61" s="385"/>
    </row>
    <row r="62" spans="1:44" ht="20.25" customHeight="1">
      <c r="A62" s="385"/>
      <c r="B62" s="385"/>
      <c r="C62" s="385"/>
      <c r="D62" s="385"/>
      <c r="E62" s="385"/>
      <c r="F62" s="385"/>
      <c r="G62" s="385"/>
      <c r="H62" s="385"/>
      <c r="I62" s="385"/>
      <c r="J62" s="385"/>
      <c r="K62" s="385"/>
      <c r="L62" s="385"/>
      <c r="M62" s="385"/>
      <c r="N62" s="385"/>
      <c r="O62" s="385"/>
      <c r="P62" s="385"/>
      <c r="Q62" s="385"/>
      <c r="R62" s="385"/>
      <c r="S62" s="385"/>
      <c r="T62" s="385"/>
      <c r="U62" s="385"/>
      <c r="V62" s="385"/>
      <c r="W62" s="385"/>
      <c r="X62" s="385"/>
      <c r="Y62" s="385"/>
      <c r="Z62" s="385"/>
      <c r="AA62" s="385"/>
      <c r="AB62" s="385"/>
      <c r="AC62" s="385"/>
      <c r="AD62" s="385"/>
      <c r="AE62" s="385"/>
      <c r="AF62" s="385"/>
      <c r="AG62" s="385"/>
      <c r="AH62" s="385"/>
      <c r="AI62" s="385"/>
      <c r="AJ62" s="385"/>
      <c r="AK62" s="385"/>
      <c r="AL62" s="385"/>
      <c r="AM62" s="385"/>
      <c r="AN62" s="385"/>
      <c r="AO62" s="385"/>
      <c r="AP62" s="385"/>
      <c r="AQ62" s="385"/>
      <c r="AR62" s="385"/>
    </row>
    <row r="63" spans="1:44" ht="20.25" customHeight="1">
      <c r="A63" s="385"/>
      <c r="B63" s="385"/>
      <c r="C63" s="385"/>
      <c r="D63" s="385"/>
      <c r="E63" s="385"/>
      <c r="F63" s="385"/>
      <c r="G63" s="385"/>
      <c r="H63" s="385"/>
      <c r="I63" s="385"/>
      <c r="J63" s="385"/>
      <c r="K63" s="385"/>
      <c r="L63" s="385"/>
      <c r="M63" s="385"/>
      <c r="N63" s="385"/>
      <c r="O63" s="385"/>
      <c r="P63" s="385"/>
      <c r="Q63" s="385"/>
      <c r="R63" s="385"/>
      <c r="S63" s="385"/>
      <c r="T63" s="385"/>
      <c r="U63" s="385"/>
      <c r="V63" s="385"/>
      <c r="W63" s="385"/>
      <c r="X63" s="385"/>
      <c r="Y63" s="385"/>
      <c r="Z63" s="385"/>
      <c r="AA63" s="385"/>
      <c r="AB63" s="385"/>
      <c r="AC63" s="385"/>
      <c r="AD63" s="385"/>
      <c r="AE63" s="385"/>
      <c r="AF63" s="385"/>
      <c r="AG63" s="385"/>
      <c r="AH63" s="385"/>
      <c r="AI63" s="385"/>
      <c r="AJ63" s="385"/>
      <c r="AK63" s="385"/>
      <c r="AL63" s="385"/>
      <c r="AM63" s="385"/>
      <c r="AN63" s="385"/>
      <c r="AO63" s="385"/>
      <c r="AP63" s="385"/>
      <c r="AQ63" s="385"/>
      <c r="AR63" s="385"/>
    </row>
    <row r="64" spans="1:44" ht="20.25" customHeight="1">
      <c r="A64" s="385"/>
      <c r="B64" s="385"/>
      <c r="C64" s="385"/>
      <c r="D64" s="385"/>
      <c r="E64" s="385"/>
      <c r="F64" s="385"/>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5"/>
      <c r="AE64" s="385"/>
      <c r="AF64" s="385"/>
      <c r="AG64" s="385"/>
      <c r="AH64" s="385"/>
      <c r="AI64" s="385"/>
      <c r="AJ64" s="385"/>
      <c r="AK64" s="385"/>
      <c r="AL64" s="385"/>
      <c r="AM64" s="385"/>
      <c r="AN64" s="385"/>
      <c r="AO64" s="385"/>
      <c r="AP64" s="385"/>
      <c r="AQ64" s="385"/>
      <c r="AR64" s="385"/>
    </row>
    <row r="65" spans="1:44" ht="20.25" customHeight="1">
      <c r="A65" s="385"/>
      <c r="B65" s="385"/>
      <c r="C65" s="385"/>
      <c r="D65" s="385"/>
      <c r="E65" s="385"/>
      <c r="F65" s="385"/>
      <c r="G65" s="385"/>
      <c r="H65" s="385"/>
      <c r="I65" s="385"/>
      <c r="J65" s="385"/>
      <c r="K65" s="385"/>
      <c r="L65" s="385"/>
      <c r="M65" s="385"/>
      <c r="N65" s="385"/>
      <c r="O65" s="385"/>
      <c r="P65" s="385"/>
      <c r="Q65" s="385"/>
      <c r="R65" s="385"/>
      <c r="S65" s="385"/>
      <c r="T65" s="385"/>
      <c r="U65" s="385"/>
      <c r="V65" s="385"/>
      <c r="W65" s="385"/>
      <c r="X65" s="385"/>
      <c r="Y65" s="385"/>
      <c r="Z65" s="385"/>
      <c r="AA65" s="385"/>
      <c r="AB65" s="385"/>
      <c r="AC65" s="385"/>
      <c r="AD65" s="385"/>
      <c r="AE65" s="385"/>
      <c r="AF65" s="385"/>
      <c r="AG65" s="385"/>
      <c r="AH65" s="385"/>
      <c r="AI65" s="385"/>
      <c r="AJ65" s="385"/>
      <c r="AK65" s="385"/>
      <c r="AL65" s="385"/>
      <c r="AM65" s="385"/>
      <c r="AN65" s="385"/>
      <c r="AO65" s="385"/>
      <c r="AP65" s="385"/>
      <c r="AQ65" s="385"/>
      <c r="AR65" s="385"/>
    </row>
    <row r="66" spans="1:44" ht="20.25" customHeight="1">
      <c r="A66" s="385"/>
      <c r="B66" s="385"/>
      <c r="C66" s="385"/>
      <c r="D66" s="385"/>
      <c r="E66" s="385"/>
      <c r="F66" s="385"/>
      <c r="G66" s="385"/>
      <c r="H66" s="385"/>
      <c r="I66" s="385"/>
      <c r="J66" s="385"/>
      <c r="K66" s="385"/>
      <c r="L66" s="385"/>
      <c r="M66" s="385"/>
      <c r="N66" s="385"/>
      <c r="O66" s="385"/>
      <c r="P66" s="385"/>
      <c r="Q66" s="385"/>
      <c r="R66" s="385"/>
      <c r="S66" s="385"/>
      <c r="T66" s="385"/>
      <c r="U66" s="385"/>
      <c r="V66" s="385"/>
      <c r="W66" s="385"/>
      <c r="X66" s="385"/>
      <c r="Y66" s="385"/>
      <c r="Z66" s="385"/>
      <c r="AA66" s="385"/>
      <c r="AB66" s="385"/>
      <c r="AC66" s="385"/>
      <c r="AD66" s="385"/>
      <c r="AE66" s="385"/>
      <c r="AF66" s="385"/>
      <c r="AG66" s="385"/>
      <c r="AH66" s="385"/>
      <c r="AI66" s="385"/>
      <c r="AJ66" s="385"/>
      <c r="AK66" s="385"/>
      <c r="AL66" s="385"/>
      <c r="AM66" s="385"/>
      <c r="AN66" s="385"/>
      <c r="AO66" s="385"/>
      <c r="AP66" s="385"/>
      <c r="AQ66" s="385"/>
      <c r="AR66" s="385"/>
    </row>
    <row r="67" spans="1:44" ht="20.25" customHeight="1">
      <c r="A67" s="385"/>
      <c r="B67" s="385"/>
      <c r="C67" s="385"/>
      <c r="D67" s="385"/>
      <c r="E67" s="385"/>
      <c r="F67" s="385"/>
      <c r="G67" s="385"/>
      <c r="H67" s="385"/>
      <c r="I67" s="385"/>
      <c r="J67" s="385"/>
      <c r="K67" s="385"/>
      <c r="L67" s="385"/>
      <c r="M67" s="385"/>
      <c r="N67" s="385"/>
      <c r="O67" s="385"/>
      <c r="P67" s="385"/>
      <c r="Q67" s="385"/>
      <c r="R67" s="385"/>
      <c r="S67" s="385"/>
      <c r="T67" s="385"/>
      <c r="U67" s="385"/>
      <c r="V67" s="385"/>
      <c r="W67" s="385"/>
      <c r="X67" s="385"/>
      <c r="Y67" s="385"/>
      <c r="Z67" s="385"/>
      <c r="AA67" s="385"/>
      <c r="AB67" s="385"/>
      <c r="AC67" s="385"/>
      <c r="AD67" s="385"/>
      <c r="AE67" s="385"/>
      <c r="AF67" s="385"/>
      <c r="AG67" s="385"/>
      <c r="AH67" s="385"/>
      <c r="AI67" s="385"/>
      <c r="AJ67" s="385"/>
      <c r="AK67" s="385"/>
      <c r="AL67" s="385"/>
      <c r="AM67" s="385"/>
      <c r="AN67" s="385"/>
      <c r="AO67" s="385"/>
      <c r="AP67" s="385"/>
      <c r="AQ67" s="385"/>
      <c r="AR67" s="385"/>
    </row>
    <row r="68" spans="1:44" ht="20.25" customHeight="1">
      <c r="A68" s="385"/>
      <c r="B68" s="385"/>
      <c r="C68" s="385"/>
      <c r="D68" s="385"/>
      <c r="E68" s="385"/>
      <c r="F68" s="385"/>
      <c r="G68" s="385"/>
      <c r="H68" s="385"/>
      <c r="I68" s="385"/>
      <c r="J68" s="385"/>
      <c r="K68" s="385"/>
      <c r="L68" s="385"/>
      <c r="M68" s="385"/>
      <c r="N68" s="385"/>
      <c r="O68" s="385"/>
      <c r="P68" s="385"/>
      <c r="Q68" s="385"/>
      <c r="R68" s="385"/>
      <c r="S68" s="385"/>
      <c r="T68" s="385"/>
      <c r="U68" s="385"/>
      <c r="V68" s="385"/>
      <c r="W68" s="385"/>
      <c r="X68" s="385"/>
      <c r="Y68" s="385"/>
      <c r="Z68" s="385"/>
      <c r="AA68" s="385"/>
      <c r="AB68" s="385"/>
      <c r="AC68" s="385"/>
      <c r="AD68" s="385"/>
      <c r="AE68" s="385"/>
      <c r="AF68" s="385"/>
      <c r="AG68" s="385"/>
      <c r="AH68" s="385"/>
      <c r="AI68" s="385"/>
      <c r="AJ68" s="385"/>
      <c r="AK68" s="385"/>
      <c r="AL68" s="385"/>
      <c r="AM68" s="385"/>
      <c r="AN68" s="385"/>
      <c r="AO68" s="385"/>
      <c r="AP68" s="385"/>
      <c r="AQ68" s="385"/>
      <c r="AR68" s="385"/>
    </row>
    <row r="69" spans="1:44" ht="20.25" customHeight="1">
      <c r="A69" s="385"/>
      <c r="B69" s="385"/>
      <c r="C69" s="385"/>
      <c r="D69" s="385"/>
      <c r="E69" s="385"/>
      <c r="F69" s="385"/>
      <c r="G69" s="385"/>
      <c r="H69" s="385"/>
      <c r="I69" s="385"/>
      <c r="J69" s="385"/>
      <c r="K69" s="385"/>
      <c r="L69" s="385"/>
      <c r="M69" s="385"/>
      <c r="N69" s="385"/>
      <c r="O69" s="385"/>
      <c r="P69" s="385"/>
      <c r="Q69" s="385"/>
      <c r="R69" s="385"/>
      <c r="S69" s="385"/>
      <c r="T69" s="385"/>
      <c r="U69" s="385"/>
      <c r="V69" s="385"/>
      <c r="W69" s="385"/>
      <c r="X69" s="385"/>
      <c r="Y69" s="385"/>
      <c r="Z69" s="385"/>
      <c r="AA69" s="385"/>
      <c r="AB69" s="385"/>
      <c r="AC69" s="385"/>
      <c r="AD69" s="385"/>
      <c r="AE69" s="385"/>
      <c r="AF69" s="385"/>
      <c r="AG69" s="385"/>
      <c r="AH69" s="385"/>
      <c r="AI69" s="385"/>
      <c r="AJ69" s="385"/>
      <c r="AK69" s="385"/>
      <c r="AL69" s="385"/>
      <c r="AM69" s="385"/>
      <c r="AN69" s="385"/>
      <c r="AO69" s="385"/>
      <c r="AP69" s="385"/>
      <c r="AQ69" s="385"/>
      <c r="AR69" s="385"/>
    </row>
    <row r="70" spans="1:44" ht="20.25" customHeight="1">
      <c r="A70" s="385"/>
      <c r="B70" s="385"/>
      <c r="C70" s="385"/>
      <c r="D70" s="385"/>
      <c r="E70" s="385"/>
      <c r="F70" s="385"/>
      <c r="G70" s="385"/>
      <c r="H70" s="385"/>
      <c r="I70" s="385"/>
      <c r="J70" s="385"/>
      <c r="K70" s="385"/>
      <c r="L70" s="385"/>
      <c r="M70" s="385"/>
      <c r="N70" s="385"/>
      <c r="O70" s="385"/>
      <c r="P70" s="385"/>
      <c r="Q70" s="385"/>
      <c r="R70" s="385"/>
      <c r="S70" s="385"/>
      <c r="T70" s="385"/>
      <c r="U70" s="385"/>
      <c r="V70" s="385"/>
      <c r="W70" s="385"/>
      <c r="X70" s="385"/>
      <c r="Y70" s="385"/>
      <c r="Z70" s="385"/>
      <c r="AA70" s="385"/>
      <c r="AB70" s="385"/>
      <c r="AC70" s="385"/>
      <c r="AD70" s="385"/>
      <c r="AE70" s="385"/>
      <c r="AF70" s="385"/>
      <c r="AG70" s="385"/>
      <c r="AH70" s="385"/>
      <c r="AI70" s="385"/>
      <c r="AJ70" s="385"/>
      <c r="AK70" s="385"/>
      <c r="AL70" s="385"/>
      <c r="AM70" s="385"/>
      <c r="AN70" s="385"/>
      <c r="AO70" s="385"/>
      <c r="AP70" s="385"/>
      <c r="AQ70" s="385"/>
      <c r="AR70" s="385"/>
    </row>
    <row r="71" spans="1:44" ht="20.25" customHeight="1">
      <c r="A71" s="385"/>
      <c r="B71" s="385"/>
      <c r="C71" s="385"/>
      <c r="D71" s="385"/>
      <c r="E71" s="385"/>
      <c r="F71" s="385"/>
      <c r="G71" s="385"/>
      <c r="H71" s="385"/>
      <c r="I71" s="385"/>
      <c r="J71" s="385"/>
      <c r="K71" s="385"/>
      <c r="L71" s="385"/>
      <c r="M71" s="385"/>
      <c r="N71" s="385"/>
      <c r="O71" s="385"/>
      <c r="P71" s="385"/>
      <c r="Q71" s="385"/>
      <c r="R71" s="385"/>
      <c r="S71" s="385"/>
      <c r="T71" s="385"/>
      <c r="U71" s="385"/>
      <c r="V71" s="385"/>
      <c r="W71" s="385"/>
      <c r="X71" s="385"/>
      <c r="Y71" s="385"/>
      <c r="Z71" s="385"/>
      <c r="AA71" s="385"/>
      <c r="AB71" s="385"/>
      <c r="AC71" s="385"/>
      <c r="AD71" s="385"/>
      <c r="AE71" s="385"/>
      <c r="AF71" s="385"/>
      <c r="AG71" s="385"/>
      <c r="AH71" s="385"/>
      <c r="AI71" s="385"/>
      <c r="AJ71" s="385"/>
      <c r="AK71" s="385"/>
      <c r="AL71" s="385"/>
      <c r="AM71" s="385"/>
      <c r="AN71" s="385"/>
      <c r="AO71" s="385"/>
      <c r="AP71" s="385"/>
      <c r="AQ71" s="385"/>
      <c r="AR71" s="385"/>
    </row>
    <row r="72" spans="1:44" ht="20.25" customHeight="1">
      <c r="A72" s="385"/>
      <c r="B72" s="385"/>
      <c r="C72" s="385"/>
      <c r="D72" s="385"/>
      <c r="E72" s="385"/>
      <c r="F72" s="385"/>
      <c r="G72" s="385"/>
      <c r="H72" s="385"/>
      <c r="I72" s="385"/>
      <c r="J72" s="385"/>
      <c r="K72" s="385"/>
      <c r="L72" s="385"/>
      <c r="M72" s="385"/>
      <c r="N72" s="385"/>
      <c r="O72" s="385"/>
      <c r="P72" s="385"/>
      <c r="Q72" s="385"/>
      <c r="R72" s="385"/>
      <c r="S72" s="385"/>
      <c r="T72" s="385"/>
      <c r="U72" s="385"/>
      <c r="V72" s="385"/>
      <c r="W72" s="385"/>
      <c r="X72" s="385"/>
      <c r="Y72" s="385"/>
      <c r="Z72" s="385"/>
      <c r="AA72" s="385"/>
      <c r="AB72" s="385"/>
      <c r="AC72" s="385"/>
      <c r="AD72" s="385"/>
      <c r="AE72" s="385"/>
      <c r="AF72" s="385"/>
      <c r="AG72" s="385"/>
      <c r="AH72" s="385"/>
      <c r="AI72" s="385"/>
      <c r="AJ72" s="385"/>
      <c r="AK72" s="385"/>
      <c r="AL72" s="385"/>
      <c r="AM72" s="385"/>
      <c r="AN72" s="385"/>
      <c r="AO72" s="385"/>
      <c r="AP72" s="385"/>
      <c r="AQ72" s="385"/>
      <c r="AR72" s="385"/>
    </row>
    <row r="73" spans="1:44" ht="20.25" customHeight="1">
      <c r="A73" s="385"/>
      <c r="B73" s="385"/>
      <c r="C73" s="385"/>
      <c r="D73" s="385"/>
      <c r="E73" s="385"/>
      <c r="F73" s="385"/>
      <c r="G73" s="385"/>
      <c r="H73" s="385"/>
      <c r="I73" s="385"/>
      <c r="J73" s="385"/>
      <c r="K73" s="385"/>
      <c r="L73" s="385"/>
      <c r="M73" s="385"/>
      <c r="N73" s="385"/>
      <c r="O73" s="385"/>
      <c r="P73" s="385"/>
      <c r="Q73" s="385"/>
      <c r="R73" s="385"/>
      <c r="S73" s="385"/>
      <c r="T73" s="385"/>
      <c r="U73" s="385"/>
      <c r="V73" s="385"/>
      <c r="W73" s="385"/>
      <c r="X73" s="385"/>
      <c r="Y73" s="385"/>
      <c r="Z73" s="385"/>
      <c r="AA73" s="385"/>
      <c r="AB73" s="385"/>
      <c r="AC73" s="385"/>
      <c r="AD73" s="385"/>
      <c r="AE73" s="385"/>
      <c r="AF73" s="385"/>
      <c r="AG73" s="385"/>
      <c r="AH73" s="385"/>
      <c r="AI73" s="385"/>
      <c r="AJ73" s="385"/>
      <c r="AK73" s="385"/>
      <c r="AL73" s="385"/>
      <c r="AM73" s="385"/>
      <c r="AN73" s="385"/>
      <c r="AO73" s="385"/>
      <c r="AP73" s="385"/>
      <c r="AQ73" s="385"/>
      <c r="AR73" s="385"/>
    </row>
    <row r="74" spans="1:44" ht="20.25" customHeight="1">
      <c r="A74" s="385"/>
      <c r="B74" s="385"/>
      <c r="C74" s="385"/>
      <c r="D74" s="385"/>
      <c r="E74" s="385"/>
      <c r="F74" s="385"/>
      <c r="G74" s="385"/>
      <c r="H74" s="385"/>
      <c r="I74" s="385"/>
      <c r="J74" s="385"/>
      <c r="K74" s="385"/>
      <c r="L74" s="385"/>
      <c r="M74" s="385"/>
      <c r="N74" s="385"/>
      <c r="O74" s="385"/>
      <c r="P74" s="385"/>
      <c r="Q74" s="385"/>
      <c r="R74" s="385"/>
      <c r="S74" s="385"/>
      <c r="T74" s="385"/>
      <c r="U74" s="385"/>
      <c r="V74" s="385"/>
      <c r="W74" s="385"/>
      <c r="X74" s="385"/>
      <c r="Y74" s="385"/>
      <c r="Z74" s="385"/>
      <c r="AA74" s="385"/>
      <c r="AB74" s="385"/>
      <c r="AC74" s="385"/>
      <c r="AD74" s="385"/>
      <c r="AE74" s="385"/>
      <c r="AF74" s="385"/>
      <c r="AG74" s="385"/>
      <c r="AH74" s="385"/>
      <c r="AI74" s="385"/>
      <c r="AJ74" s="385"/>
      <c r="AK74" s="385"/>
      <c r="AL74" s="385"/>
      <c r="AM74" s="385"/>
      <c r="AN74" s="385"/>
      <c r="AO74" s="385"/>
      <c r="AP74" s="385"/>
      <c r="AQ74" s="385"/>
      <c r="AR74" s="385"/>
    </row>
    <row r="75" spans="1:44" ht="20.25" customHeight="1">
      <c r="A75" s="385"/>
      <c r="B75" s="385"/>
      <c r="C75" s="385"/>
      <c r="D75" s="385"/>
      <c r="E75" s="385"/>
      <c r="F75" s="385"/>
      <c r="G75" s="385"/>
      <c r="H75" s="385"/>
      <c r="I75" s="385"/>
      <c r="J75" s="385"/>
      <c r="K75" s="385"/>
      <c r="L75" s="385"/>
      <c r="M75" s="385"/>
      <c r="N75" s="385"/>
      <c r="O75" s="385"/>
      <c r="P75" s="385"/>
      <c r="Q75" s="385"/>
      <c r="R75" s="385"/>
      <c r="S75" s="385"/>
      <c r="T75" s="385"/>
      <c r="U75" s="385"/>
      <c r="V75" s="385"/>
      <c r="W75" s="385"/>
      <c r="X75" s="385"/>
      <c r="Y75" s="385"/>
      <c r="Z75" s="385"/>
      <c r="AA75" s="385"/>
      <c r="AB75" s="385"/>
      <c r="AC75" s="385"/>
      <c r="AD75" s="385"/>
      <c r="AE75" s="385"/>
      <c r="AF75" s="385"/>
      <c r="AG75" s="385"/>
      <c r="AH75" s="385"/>
      <c r="AI75" s="385"/>
      <c r="AJ75" s="385"/>
      <c r="AK75" s="385"/>
      <c r="AL75" s="385"/>
      <c r="AM75" s="385"/>
      <c r="AN75" s="385"/>
      <c r="AO75" s="385"/>
      <c r="AP75" s="385"/>
      <c r="AQ75" s="385"/>
      <c r="AR75" s="385"/>
    </row>
    <row r="76" spans="1:44" ht="20.25" customHeight="1">
      <c r="A76" s="385"/>
      <c r="B76" s="385"/>
      <c r="C76" s="385"/>
      <c r="D76" s="385"/>
      <c r="E76" s="385"/>
      <c r="F76" s="385"/>
      <c r="G76" s="385"/>
      <c r="H76" s="385"/>
      <c r="I76" s="385"/>
      <c r="J76" s="385"/>
      <c r="K76" s="385"/>
      <c r="L76" s="385"/>
      <c r="M76" s="385"/>
      <c r="N76" s="385"/>
      <c r="O76" s="385"/>
      <c r="P76" s="385"/>
      <c r="Q76" s="385"/>
      <c r="R76" s="385"/>
      <c r="S76" s="385"/>
      <c r="T76" s="385"/>
      <c r="U76" s="385"/>
      <c r="V76" s="385"/>
      <c r="W76" s="385"/>
      <c r="X76" s="385"/>
      <c r="Y76" s="385"/>
      <c r="Z76" s="385"/>
      <c r="AA76" s="385"/>
      <c r="AB76" s="385"/>
      <c r="AC76" s="385"/>
      <c r="AD76" s="385"/>
      <c r="AE76" s="385"/>
      <c r="AF76" s="385"/>
      <c r="AG76" s="385"/>
      <c r="AH76" s="385"/>
      <c r="AI76" s="385"/>
      <c r="AJ76" s="385"/>
      <c r="AK76" s="385"/>
      <c r="AL76" s="385"/>
      <c r="AM76" s="385"/>
      <c r="AN76" s="385"/>
      <c r="AO76" s="385"/>
      <c r="AP76" s="385"/>
      <c r="AQ76" s="385"/>
      <c r="AR76" s="385"/>
    </row>
    <row r="77" spans="1:44" ht="20.25" customHeight="1">
      <c r="A77" s="385"/>
      <c r="B77" s="385"/>
      <c r="C77" s="385"/>
      <c r="D77" s="385"/>
      <c r="E77" s="385"/>
      <c r="F77" s="385"/>
      <c r="G77" s="385"/>
      <c r="H77" s="385"/>
      <c r="I77" s="385"/>
      <c r="J77" s="385"/>
      <c r="K77" s="385"/>
      <c r="L77" s="385"/>
      <c r="M77" s="385"/>
      <c r="N77" s="385"/>
      <c r="O77" s="385"/>
      <c r="P77" s="385"/>
      <c r="Q77" s="385"/>
      <c r="R77" s="385"/>
      <c r="S77" s="385"/>
      <c r="T77" s="385"/>
      <c r="U77" s="385"/>
      <c r="V77" s="385"/>
      <c r="W77" s="385"/>
      <c r="X77" s="385"/>
      <c r="Y77" s="385"/>
      <c r="Z77" s="385"/>
      <c r="AA77" s="385"/>
      <c r="AB77" s="385"/>
      <c r="AC77" s="385"/>
      <c r="AD77" s="385"/>
      <c r="AE77" s="385"/>
      <c r="AF77" s="385"/>
      <c r="AG77" s="385"/>
      <c r="AH77" s="385"/>
      <c r="AI77" s="385"/>
      <c r="AJ77" s="385"/>
      <c r="AK77" s="385"/>
      <c r="AL77" s="385"/>
      <c r="AM77" s="385"/>
      <c r="AN77" s="385"/>
      <c r="AO77" s="385"/>
      <c r="AP77" s="385"/>
      <c r="AQ77" s="385"/>
      <c r="AR77" s="385"/>
    </row>
    <row r="78" spans="1:44" ht="20.25" customHeight="1">
      <c r="A78" s="385"/>
      <c r="B78" s="385"/>
      <c r="C78" s="385"/>
      <c r="D78" s="385"/>
      <c r="E78" s="385"/>
      <c r="F78" s="385"/>
      <c r="G78" s="385"/>
      <c r="H78" s="385"/>
      <c r="I78" s="385"/>
      <c r="J78" s="385"/>
      <c r="K78" s="385"/>
      <c r="L78" s="385"/>
      <c r="M78" s="385"/>
      <c r="N78" s="385"/>
      <c r="O78" s="385"/>
      <c r="P78" s="385"/>
      <c r="Q78" s="385"/>
      <c r="R78" s="385"/>
      <c r="S78" s="385"/>
      <c r="T78" s="385"/>
      <c r="U78" s="385"/>
      <c r="V78" s="385"/>
      <c r="W78" s="385"/>
      <c r="X78" s="385"/>
      <c r="Y78" s="385"/>
      <c r="Z78" s="385"/>
      <c r="AA78" s="385"/>
      <c r="AB78" s="385"/>
      <c r="AC78" s="385"/>
      <c r="AD78" s="385"/>
      <c r="AE78" s="385"/>
      <c r="AF78" s="385"/>
      <c r="AG78" s="385"/>
      <c r="AH78" s="385"/>
      <c r="AI78" s="385"/>
      <c r="AJ78" s="385"/>
      <c r="AK78" s="385"/>
      <c r="AL78" s="385"/>
      <c r="AM78" s="385"/>
      <c r="AN78" s="385"/>
      <c r="AO78" s="385"/>
      <c r="AP78" s="385"/>
      <c r="AQ78" s="385"/>
      <c r="AR78" s="385"/>
    </row>
    <row r="79" spans="1:44" ht="20.25" customHeight="1">
      <c r="A79" s="385"/>
      <c r="B79" s="385"/>
      <c r="C79" s="385"/>
      <c r="D79" s="385"/>
      <c r="E79" s="385"/>
      <c r="F79" s="385"/>
      <c r="G79" s="385"/>
      <c r="H79" s="385"/>
      <c r="I79" s="385"/>
      <c r="J79" s="385"/>
      <c r="K79" s="385"/>
      <c r="L79" s="385"/>
      <c r="M79" s="385"/>
      <c r="N79" s="385"/>
      <c r="O79" s="385"/>
      <c r="P79" s="385"/>
      <c r="Q79" s="385"/>
      <c r="R79" s="385"/>
      <c r="S79" s="385"/>
      <c r="T79" s="385"/>
      <c r="U79" s="385"/>
      <c r="V79" s="385"/>
      <c r="W79" s="385"/>
      <c r="X79" s="385"/>
      <c r="Y79" s="385"/>
      <c r="Z79" s="385"/>
      <c r="AA79" s="385"/>
      <c r="AB79" s="385"/>
      <c r="AC79" s="385"/>
      <c r="AD79" s="385"/>
      <c r="AE79" s="385"/>
      <c r="AF79" s="385"/>
      <c r="AG79" s="385"/>
      <c r="AH79" s="385"/>
      <c r="AI79" s="385"/>
      <c r="AJ79" s="385"/>
      <c r="AK79" s="385"/>
      <c r="AL79" s="385"/>
      <c r="AM79" s="385"/>
      <c r="AN79" s="385"/>
      <c r="AO79" s="385"/>
      <c r="AP79" s="385"/>
      <c r="AQ79" s="385"/>
      <c r="AR79" s="385"/>
    </row>
    <row r="80" spans="1:44" ht="20.25" customHeight="1">
      <c r="A80" s="385"/>
      <c r="B80" s="385"/>
      <c r="C80" s="385"/>
      <c r="D80" s="385"/>
      <c r="E80" s="385"/>
      <c r="F80" s="385"/>
      <c r="G80" s="385"/>
      <c r="H80" s="385"/>
      <c r="I80" s="385"/>
      <c r="J80" s="385"/>
      <c r="K80" s="385"/>
      <c r="L80" s="385"/>
      <c r="M80" s="385"/>
      <c r="N80" s="385"/>
      <c r="O80" s="385"/>
      <c r="P80" s="385"/>
      <c r="Q80" s="385"/>
      <c r="R80" s="385"/>
      <c r="S80" s="385"/>
      <c r="T80" s="385"/>
      <c r="U80" s="385"/>
      <c r="V80" s="385"/>
      <c r="W80" s="385"/>
      <c r="X80" s="385"/>
      <c r="Y80" s="385"/>
      <c r="Z80" s="385"/>
      <c r="AA80" s="385"/>
      <c r="AB80" s="385"/>
      <c r="AC80" s="385"/>
      <c r="AD80" s="385"/>
      <c r="AE80" s="385"/>
      <c r="AF80" s="385"/>
      <c r="AG80" s="385"/>
      <c r="AH80" s="385"/>
      <c r="AI80" s="385"/>
      <c r="AJ80" s="385"/>
      <c r="AK80" s="385"/>
      <c r="AL80" s="385"/>
      <c r="AM80" s="385"/>
      <c r="AN80" s="385"/>
      <c r="AO80" s="385"/>
      <c r="AP80" s="385"/>
      <c r="AQ80" s="385"/>
      <c r="AR80" s="385"/>
    </row>
    <row r="81" spans="1:44" ht="20.25" customHeight="1">
      <c r="A81" s="385"/>
      <c r="B81" s="385"/>
      <c r="C81" s="385"/>
      <c r="D81" s="385"/>
      <c r="E81" s="385"/>
      <c r="F81" s="385"/>
      <c r="G81" s="385"/>
      <c r="H81" s="385"/>
      <c r="I81" s="385"/>
      <c r="J81" s="385"/>
      <c r="K81" s="385"/>
      <c r="L81" s="385"/>
      <c r="M81" s="385"/>
      <c r="N81" s="385"/>
      <c r="O81" s="385"/>
      <c r="P81" s="385"/>
      <c r="Q81" s="385"/>
      <c r="R81" s="385"/>
      <c r="S81" s="385"/>
      <c r="T81" s="385"/>
      <c r="U81" s="385"/>
      <c r="V81" s="385"/>
      <c r="W81" s="385"/>
      <c r="X81" s="385"/>
      <c r="Y81" s="385"/>
      <c r="Z81" s="385"/>
      <c r="AA81" s="385"/>
      <c r="AB81" s="385"/>
      <c r="AC81" s="385"/>
      <c r="AD81" s="385"/>
      <c r="AE81" s="385"/>
      <c r="AF81" s="385"/>
      <c r="AG81" s="385"/>
      <c r="AH81" s="385"/>
      <c r="AI81" s="385"/>
      <c r="AJ81" s="385"/>
      <c r="AK81" s="385"/>
      <c r="AL81" s="385"/>
      <c r="AM81" s="385"/>
      <c r="AN81" s="385"/>
      <c r="AO81" s="385"/>
      <c r="AP81" s="385"/>
      <c r="AQ81" s="385"/>
      <c r="AR81" s="385"/>
    </row>
    <row r="82" spans="1:44" ht="20.25" customHeight="1">
      <c r="A82" s="385"/>
      <c r="B82" s="385"/>
      <c r="C82" s="385"/>
      <c r="D82" s="385"/>
      <c r="E82" s="385"/>
      <c r="F82" s="385"/>
      <c r="G82" s="385"/>
      <c r="H82" s="385"/>
      <c r="I82" s="385"/>
      <c r="J82" s="385"/>
      <c r="K82" s="385"/>
      <c r="L82" s="385"/>
      <c r="M82" s="385"/>
      <c r="N82" s="385"/>
      <c r="O82" s="385"/>
      <c r="P82" s="385"/>
      <c r="Q82" s="385"/>
      <c r="R82" s="385"/>
      <c r="S82" s="385"/>
      <c r="T82" s="385"/>
      <c r="U82" s="385"/>
      <c r="V82" s="385"/>
      <c r="W82" s="385"/>
      <c r="X82" s="385"/>
      <c r="Y82" s="385"/>
      <c r="Z82" s="385"/>
      <c r="AA82" s="385"/>
      <c r="AB82" s="385"/>
      <c r="AC82" s="385"/>
      <c r="AD82" s="385"/>
      <c r="AE82" s="385"/>
      <c r="AF82" s="385"/>
      <c r="AG82" s="385"/>
      <c r="AH82" s="385"/>
      <c r="AI82" s="385"/>
      <c r="AJ82" s="385"/>
      <c r="AK82" s="385"/>
      <c r="AL82" s="385"/>
      <c r="AM82" s="385"/>
      <c r="AN82" s="385"/>
      <c r="AO82" s="385"/>
      <c r="AP82" s="385"/>
      <c r="AQ82" s="385"/>
      <c r="AR82" s="385"/>
    </row>
    <row r="83" spans="1:44" ht="20.25" customHeight="1">
      <c r="A83" s="385"/>
      <c r="B83" s="385"/>
      <c r="C83" s="385"/>
      <c r="D83" s="385"/>
      <c r="E83" s="385"/>
      <c r="F83" s="385"/>
      <c r="G83" s="385"/>
      <c r="H83" s="385"/>
      <c r="I83" s="385"/>
      <c r="J83" s="385"/>
      <c r="K83" s="385"/>
      <c r="L83" s="385"/>
      <c r="M83" s="385"/>
      <c r="N83" s="385"/>
      <c r="O83" s="385"/>
      <c r="P83" s="385"/>
      <c r="Q83" s="385"/>
      <c r="R83" s="385"/>
      <c r="S83" s="385"/>
      <c r="T83" s="385"/>
      <c r="U83" s="385"/>
      <c r="V83" s="385"/>
      <c r="W83" s="385"/>
      <c r="X83" s="385"/>
      <c r="Y83" s="385"/>
      <c r="Z83" s="385"/>
      <c r="AA83" s="385"/>
      <c r="AB83" s="385"/>
      <c r="AC83" s="385"/>
      <c r="AD83" s="385"/>
      <c r="AE83" s="385"/>
      <c r="AF83" s="385"/>
      <c r="AG83" s="385"/>
      <c r="AH83" s="385"/>
      <c r="AI83" s="385"/>
      <c r="AJ83" s="385"/>
      <c r="AK83" s="385"/>
      <c r="AL83" s="385"/>
      <c r="AM83" s="385"/>
      <c r="AN83" s="385"/>
      <c r="AO83" s="385"/>
      <c r="AP83" s="385"/>
      <c r="AQ83" s="385"/>
      <c r="AR83" s="385"/>
    </row>
    <row r="84" spans="1:44" ht="20.25" customHeight="1">
      <c r="A84" s="385"/>
      <c r="B84" s="385"/>
      <c r="C84" s="385"/>
      <c r="D84" s="385"/>
      <c r="E84" s="385"/>
      <c r="F84" s="385"/>
      <c r="G84" s="385"/>
      <c r="H84" s="385"/>
      <c r="I84" s="385"/>
      <c r="J84" s="385"/>
      <c r="K84" s="385"/>
      <c r="L84" s="385"/>
      <c r="M84" s="385"/>
      <c r="N84" s="385"/>
      <c r="O84" s="385"/>
      <c r="P84" s="385"/>
      <c r="Q84" s="385"/>
      <c r="R84" s="385"/>
      <c r="S84" s="385"/>
      <c r="T84" s="385"/>
      <c r="U84" s="385"/>
      <c r="V84" s="385"/>
      <c r="W84" s="385"/>
      <c r="X84" s="385"/>
      <c r="Y84" s="385"/>
      <c r="Z84" s="385"/>
      <c r="AA84" s="385"/>
      <c r="AB84" s="385"/>
      <c r="AC84" s="385"/>
      <c r="AD84" s="385"/>
      <c r="AE84" s="385"/>
      <c r="AF84" s="385"/>
      <c r="AG84" s="385"/>
      <c r="AH84" s="385"/>
      <c r="AI84" s="385"/>
      <c r="AJ84" s="385"/>
      <c r="AK84" s="385"/>
      <c r="AL84" s="385"/>
      <c r="AM84" s="385"/>
      <c r="AN84" s="385"/>
      <c r="AO84" s="385"/>
      <c r="AP84" s="385"/>
      <c r="AQ84" s="385"/>
      <c r="AR84" s="385"/>
    </row>
    <row r="85" spans="1:44" ht="20.25" customHeight="1">
      <c r="A85" s="385"/>
      <c r="B85" s="385"/>
      <c r="C85" s="385"/>
      <c r="D85" s="385"/>
      <c r="E85" s="385"/>
      <c r="F85" s="385"/>
      <c r="G85" s="385"/>
      <c r="H85" s="385"/>
      <c r="I85" s="385"/>
      <c r="J85" s="385"/>
      <c r="K85" s="385"/>
      <c r="L85" s="385"/>
      <c r="M85" s="385"/>
      <c r="N85" s="385"/>
      <c r="O85" s="385"/>
      <c r="P85" s="385"/>
      <c r="Q85" s="385"/>
      <c r="R85" s="385"/>
      <c r="S85" s="385"/>
      <c r="T85" s="385"/>
      <c r="U85" s="385"/>
      <c r="V85" s="385"/>
      <c r="W85" s="385"/>
      <c r="X85" s="385"/>
      <c r="Y85" s="385"/>
      <c r="Z85" s="385"/>
      <c r="AA85" s="385"/>
      <c r="AB85" s="385"/>
      <c r="AC85" s="385"/>
      <c r="AD85" s="385"/>
      <c r="AE85" s="385"/>
      <c r="AF85" s="385"/>
      <c r="AG85" s="385"/>
      <c r="AH85" s="385"/>
      <c r="AI85" s="385"/>
      <c r="AJ85" s="385"/>
      <c r="AK85" s="385"/>
      <c r="AL85" s="385"/>
      <c r="AM85" s="385"/>
      <c r="AN85" s="385"/>
      <c r="AO85" s="385"/>
      <c r="AP85" s="385"/>
      <c r="AQ85" s="385"/>
      <c r="AR85" s="385"/>
    </row>
    <row r="86" spans="1:44" ht="20.25" customHeight="1">
      <c r="A86" s="385"/>
      <c r="B86" s="385"/>
      <c r="C86" s="385"/>
      <c r="D86" s="385"/>
      <c r="E86" s="385"/>
      <c r="F86" s="385"/>
      <c r="G86" s="385"/>
      <c r="H86" s="385"/>
      <c r="I86" s="385"/>
      <c r="J86" s="385"/>
      <c r="K86" s="385"/>
      <c r="L86" s="385"/>
      <c r="M86" s="385"/>
      <c r="N86" s="385"/>
      <c r="O86" s="385"/>
      <c r="P86" s="385"/>
      <c r="Q86" s="385"/>
      <c r="R86" s="385"/>
      <c r="S86" s="385"/>
      <c r="T86" s="385"/>
      <c r="U86" s="385"/>
      <c r="V86" s="385"/>
      <c r="W86" s="385"/>
      <c r="X86" s="385"/>
      <c r="Y86" s="385"/>
      <c r="Z86" s="385"/>
      <c r="AA86" s="385"/>
      <c r="AB86" s="385"/>
      <c r="AC86" s="385"/>
      <c r="AD86" s="385"/>
      <c r="AE86" s="385"/>
      <c r="AF86" s="385"/>
      <c r="AG86" s="385"/>
      <c r="AH86" s="385"/>
      <c r="AI86" s="385"/>
      <c r="AJ86" s="385"/>
      <c r="AK86" s="385"/>
      <c r="AL86" s="385"/>
      <c r="AM86" s="385"/>
      <c r="AN86" s="385"/>
      <c r="AO86" s="385"/>
      <c r="AP86" s="385"/>
      <c r="AQ86" s="385"/>
      <c r="AR86" s="385"/>
    </row>
    <row r="87" spans="1:44" ht="20.25" customHeight="1">
      <c r="A87" s="385"/>
      <c r="B87" s="385"/>
      <c r="C87" s="385"/>
      <c r="D87" s="385"/>
      <c r="E87" s="385"/>
      <c r="F87" s="385"/>
      <c r="G87" s="385"/>
      <c r="H87" s="385"/>
      <c r="I87" s="385"/>
      <c r="J87" s="385"/>
      <c r="K87" s="385"/>
      <c r="L87" s="385"/>
      <c r="M87" s="385"/>
      <c r="N87" s="385"/>
      <c r="O87" s="385"/>
      <c r="P87" s="385"/>
      <c r="Q87" s="385"/>
      <c r="R87" s="385"/>
      <c r="S87" s="385"/>
      <c r="T87" s="385"/>
      <c r="U87" s="385"/>
      <c r="V87" s="385"/>
      <c r="W87" s="385"/>
      <c r="X87" s="385"/>
      <c r="Y87" s="385"/>
      <c r="Z87" s="385"/>
      <c r="AA87" s="385"/>
      <c r="AB87" s="385"/>
      <c r="AC87" s="385"/>
      <c r="AD87" s="385"/>
      <c r="AE87" s="385"/>
      <c r="AF87" s="385"/>
      <c r="AG87" s="385"/>
      <c r="AH87" s="385"/>
      <c r="AI87" s="385"/>
      <c r="AJ87" s="385"/>
      <c r="AK87" s="385"/>
      <c r="AL87" s="385"/>
      <c r="AM87" s="385"/>
      <c r="AN87" s="385"/>
      <c r="AO87" s="385"/>
      <c r="AP87" s="385"/>
      <c r="AQ87" s="385"/>
      <c r="AR87" s="385"/>
    </row>
    <row r="88" spans="1:44" ht="20.25" customHeight="1">
      <c r="A88" s="385"/>
      <c r="B88" s="385"/>
      <c r="C88" s="385"/>
      <c r="D88" s="385"/>
      <c r="E88" s="385"/>
      <c r="F88" s="385"/>
      <c r="G88" s="385"/>
      <c r="H88" s="385"/>
      <c r="I88" s="385"/>
      <c r="J88" s="385"/>
      <c r="K88" s="385"/>
      <c r="L88" s="385"/>
      <c r="M88" s="385"/>
      <c r="N88" s="385"/>
      <c r="O88" s="385"/>
      <c r="P88" s="385"/>
      <c r="Q88" s="385"/>
      <c r="R88" s="385"/>
      <c r="S88" s="385"/>
      <c r="T88" s="385"/>
      <c r="U88" s="385"/>
      <c r="V88" s="385"/>
      <c r="W88" s="385"/>
      <c r="X88" s="385"/>
      <c r="Y88" s="385"/>
      <c r="Z88" s="385"/>
      <c r="AA88" s="385"/>
      <c r="AB88" s="385"/>
      <c r="AC88" s="385"/>
      <c r="AD88" s="385"/>
      <c r="AE88" s="385"/>
      <c r="AF88" s="385"/>
      <c r="AG88" s="385"/>
      <c r="AH88" s="385"/>
      <c r="AI88" s="385"/>
      <c r="AJ88" s="385"/>
      <c r="AK88" s="385"/>
      <c r="AL88" s="385"/>
      <c r="AM88" s="385"/>
      <c r="AN88" s="385"/>
      <c r="AO88" s="385"/>
      <c r="AP88" s="385"/>
      <c r="AQ88" s="385"/>
      <c r="AR88" s="385"/>
    </row>
    <row r="89" spans="1:44" ht="20.25" customHeight="1">
      <c r="A89" s="385"/>
      <c r="B89" s="385"/>
      <c r="C89" s="385"/>
      <c r="D89" s="385"/>
      <c r="E89" s="385"/>
      <c r="F89" s="385"/>
      <c r="G89" s="385"/>
      <c r="H89" s="385"/>
      <c r="I89" s="385"/>
      <c r="J89" s="385"/>
      <c r="K89" s="385"/>
      <c r="L89" s="385"/>
      <c r="M89" s="385"/>
      <c r="N89" s="385"/>
      <c r="O89" s="385"/>
      <c r="P89" s="385"/>
      <c r="Q89" s="385"/>
      <c r="R89" s="385"/>
      <c r="S89" s="385"/>
      <c r="T89" s="385"/>
      <c r="U89" s="385"/>
      <c r="V89" s="385"/>
      <c r="W89" s="385"/>
      <c r="X89" s="385"/>
      <c r="Y89" s="385"/>
      <c r="Z89" s="385"/>
      <c r="AA89" s="385"/>
      <c r="AB89" s="385"/>
      <c r="AC89" s="385"/>
      <c r="AD89" s="385"/>
      <c r="AE89" s="385"/>
      <c r="AF89" s="385"/>
      <c r="AG89" s="385"/>
      <c r="AH89" s="385"/>
      <c r="AI89" s="385"/>
      <c r="AJ89" s="385"/>
      <c r="AK89" s="385"/>
      <c r="AL89" s="385"/>
      <c r="AM89" s="385"/>
      <c r="AN89" s="385"/>
      <c r="AO89" s="385"/>
      <c r="AP89" s="385"/>
      <c r="AQ89" s="385"/>
      <c r="AR89" s="385"/>
    </row>
    <row r="90" spans="1:44" ht="20.25" customHeight="1">
      <c r="A90" s="385"/>
      <c r="B90" s="385"/>
      <c r="C90" s="385"/>
      <c r="D90" s="385"/>
      <c r="E90" s="385"/>
      <c r="F90" s="385"/>
      <c r="G90" s="385"/>
      <c r="H90" s="385"/>
      <c r="I90" s="385"/>
      <c r="J90" s="385"/>
      <c r="K90" s="385"/>
      <c r="L90" s="385"/>
      <c r="M90" s="385"/>
      <c r="N90" s="385"/>
      <c r="O90" s="385"/>
      <c r="P90" s="385"/>
      <c r="Q90" s="385"/>
      <c r="R90" s="385"/>
      <c r="S90" s="385"/>
      <c r="T90" s="385"/>
      <c r="U90" s="385"/>
      <c r="V90" s="385"/>
      <c r="W90" s="385"/>
      <c r="X90" s="385"/>
      <c r="Y90" s="385"/>
      <c r="Z90" s="385"/>
      <c r="AA90" s="385"/>
      <c r="AB90" s="385"/>
      <c r="AC90" s="385"/>
      <c r="AD90" s="385"/>
      <c r="AE90" s="385"/>
      <c r="AF90" s="385"/>
      <c r="AG90" s="385"/>
      <c r="AH90" s="385"/>
      <c r="AI90" s="385"/>
      <c r="AJ90" s="385"/>
      <c r="AK90" s="385"/>
      <c r="AL90" s="385"/>
      <c r="AM90" s="385"/>
      <c r="AN90" s="385"/>
      <c r="AO90" s="385"/>
      <c r="AP90" s="385"/>
      <c r="AQ90" s="385"/>
      <c r="AR90" s="385"/>
    </row>
    <row r="91" spans="1:44" ht="20.25" customHeight="1">
      <c r="A91" s="385"/>
      <c r="B91" s="385"/>
      <c r="C91" s="385"/>
      <c r="D91" s="385"/>
      <c r="E91" s="385"/>
      <c r="F91" s="385"/>
      <c r="G91" s="385"/>
      <c r="H91" s="385"/>
      <c r="I91" s="385"/>
      <c r="J91" s="385"/>
      <c r="K91" s="385"/>
      <c r="L91" s="385"/>
      <c r="M91" s="385"/>
      <c r="N91" s="385"/>
      <c r="O91" s="385"/>
      <c r="P91" s="385"/>
      <c r="Q91" s="385"/>
      <c r="R91" s="385"/>
      <c r="S91" s="385"/>
      <c r="T91" s="385"/>
      <c r="U91" s="385"/>
      <c r="V91" s="385"/>
      <c r="W91" s="385"/>
      <c r="X91" s="385"/>
      <c r="Y91" s="385"/>
      <c r="Z91" s="385"/>
      <c r="AA91" s="385"/>
      <c r="AB91" s="385"/>
      <c r="AC91" s="385"/>
      <c r="AD91" s="385"/>
      <c r="AE91" s="385"/>
      <c r="AF91" s="385"/>
      <c r="AG91" s="385"/>
      <c r="AH91" s="385"/>
      <c r="AI91" s="385"/>
      <c r="AJ91" s="385"/>
      <c r="AK91" s="385"/>
      <c r="AL91" s="385"/>
      <c r="AM91" s="385"/>
      <c r="AN91" s="385"/>
      <c r="AO91" s="385"/>
      <c r="AP91" s="385"/>
      <c r="AQ91" s="385"/>
      <c r="AR91" s="385"/>
    </row>
    <row r="92" spans="1:44" ht="20.25" customHeight="1">
      <c r="A92" s="385"/>
      <c r="B92" s="385"/>
      <c r="C92" s="385"/>
      <c r="D92" s="385"/>
      <c r="E92" s="385"/>
      <c r="F92" s="385"/>
      <c r="G92" s="385"/>
      <c r="H92" s="385"/>
      <c r="I92" s="385"/>
      <c r="J92" s="385"/>
      <c r="K92" s="385"/>
      <c r="L92" s="385"/>
      <c r="M92" s="385"/>
      <c r="N92" s="385"/>
      <c r="O92" s="385"/>
      <c r="P92" s="385"/>
      <c r="Q92" s="385"/>
      <c r="R92" s="385"/>
      <c r="S92" s="385"/>
      <c r="T92" s="385"/>
      <c r="U92" s="385"/>
      <c r="V92" s="385"/>
      <c r="W92" s="385"/>
      <c r="X92" s="385"/>
      <c r="Y92" s="385"/>
      <c r="Z92" s="385"/>
      <c r="AA92" s="385"/>
      <c r="AB92" s="385"/>
      <c r="AC92" s="385"/>
      <c r="AD92" s="385"/>
      <c r="AE92" s="385"/>
      <c r="AF92" s="385"/>
      <c r="AG92" s="385"/>
      <c r="AH92" s="385"/>
      <c r="AI92" s="385"/>
      <c r="AJ92" s="385"/>
      <c r="AK92" s="385"/>
      <c r="AL92" s="385"/>
      <c r="AM92" s="385"/>
      <c r="AN92" s="385"/>
      <c r="AO92" s="385"/>
      <c r="AP92" s="385"/>
      <c r="AQ92" s="385"/>
      <c r="AR92" s="385"/>
    </row>
    <row r="93" spans="1:44" ht="20.25" customHeight="1">
      <c r="A93" s="385"/>
      <c r="B93" s="385"/>
      <c r="C93" s="385"/>
      <c r="D93" s="385"/>
      <c r="E93" s="385"/>
      <c r="F93" s="385"/>
      <c r="G93" s="385"/>
      <c r="H93" s="385"/>
      <c r="I93" s="385"/>
      <c r="J93" s="385"/>
      <c r="K93" s="385"/>
      <c r="L93" s="385"/>
      <c r="M93" s="385"/>
      <c r="N93" s="385"/>
      <c r="O93" s="385"/>
      <c r="P93" s="385"/>
      <c r="Q93" s="385"/>
      <c r="R93" s="385"/>
      <c r="S93" s="385"/>
      <c r="T93" s="385"/>
      <c r="U93" s="385"/>
      <c r="V93" s="385"/>
      <c r="W93" s="385"/>
      <c r="X93" s="385"/>
      <c r="Y93" s="385"/>
      <c r="Z93" s="385"/>
      <c r="AA93" s="385"/>
      <c r="AB93" s="385"/>
      <c r="AC93" s="385"/>
      <c r="AD93" s="385"/>
      <c r="AE93" s="385"/>
      <c r="AF93" s="385"/>
      <c r="AG93" s="385"/>
      <c r="AH93" s="385"/>
      <c r="AI93" s="385"/>
      <c r="AJ93" s="385"/>
      <c r="AK93" s="385"/>
      <c r="AL93" s="385"/>
      <c r="AM93" s="385"/>
      <c r="AN93" s="385"/>
      <c r="AO93" s="385"/>
      <c r="AP93" s="385"/>
      <c r="AQ93" s="385"/>
      <c r="AR93" s="385"/>
    </row>
    <row r="94" spans="1:44" ht="20.25" customHeight="1">
      <c r="A94" s="385"/>
      <c r="B94" s="385"/>
      <c r="C94" s="385"/>
      <c r="D94" s="385"/>
      <c r="E94" s="385"/>
      <c r="F94" s="385"/>
      <c r="G94" s="385"/>
      <c r="H94" s="385"/>
      <c r="I94" s="385"/>
      <c r="J94" s="385"/>
      <c r="K94" s="385"/>
      <c r="L94" s="385"/>
      <c r="M94" s="385"/>
      <c r="N94" s="385"/>
      <c r="O94" s="385"/>
      <c r="P94" s="385"/>
      <c r="Q94" s="385"/>
      <c r="R94" s="385"/>
      <c r="S94" s="385"/>
      <c r="T94" s="385"/>
      <c r="U94" s="385"/>
      <c r="V94" s="385"/>
      <c r="W94" s="385"/>
      <c r="X94" s="385"/>
      <c r="Y94" s="385"/>
      <c r="Z94" s="385"/>
      <c r="AA94" s="385"/>
      <c r="AB94" s="385"/>
      <c r="AC94" s="385"/>
      <c r="AD94" s="385"/>
      <c r="AE94" s="385"/>
      <c r="AF94" s="385"/>
      <c r="AG94" s="385"/>
      <c r="AH94" s="385"/>
      <c r="AI94" s="385"/>
      <c r="AJ94" s="385"/>
      <c r="AK94" s="385"/>
      <c r="AL94" s="385"/>
      <c r="AM94" s="385"/>
      <c r="AN94" s="385"/>
      <c r="AO94" s="385"/>
      <c r="AP94" s="385"/>
      <c r="AQ94" s="385"/>
      <c r="AR94" s="385"/>
    </row>
    <row r="95" spans="1:44" ht="20.25" customHeight="1">
      <c r="A95" s="385"/>
      <c r="B95" s="385"/>
      <c r="C95" s="385"/>
      <c r="D95" s="385"/>
      <c r="E95" s="385"/>
      <c r="F95" s="385"/>
      <c r="G95" s="385"/>
      <c r="H95" s="385"/>
      <c r="I95" s="385"/>
      <c r="J95" s="385"/>
      <c r="K95" s="385"/>
      <c r="L95" s="385"/>
      <c r="M95" s="385"/>
      <c r="N95" s="385"/>
      <c r="O95" s="385"/>
      <c r="P95" s="385"/>
      <c r="Q95" s="385"/>
      <c r="R95" s="385"/>
      <c r="S95" s="385"/>
      <c r="T95" s="385"/>
      <c r="U95" s="385"/>
      <c r="V95" s="385"/>
      <c r="W95" s="385"/>
      <c r="X95" s="385"/>
      <c r="Y95" s="385"/>
      <c r="Z95" s="385"/>
      <c r="AA95" s="385"/>
      <c r="AB95" s="385"/>
      <c r="AC95" s="385"/>
      <c r="AD95" s="385"/>
      <c r="AE95" s="385"/>
      <c r="AF95" s="385"/>
      <c r="AG95" s="385"/>
      <c r="AH95" s="385"/>
      <c r="AI95" s="385"/>
      <c r="AJ95" s="385"/>
      <c r="AK95" s="385"/>
      <c r="AL95" s="385"/>
      <c r="AM95" s="385"/>
      <c r="AN95" s="385"/>
      <c r="AO95" s="385"/>
      <c r="AP95" s="385"/>
      <c r="AQ95" s="385"/>
      <c r="AR95" s="385"/>
    </row>
    <row r="96" spans="1:44" ht="20.25" customHeight="1">
      <c r="A96" s="385"/>
      <c r="B96" s="385"/>
      <c r="C96" s="385"/>
      <c r="D96" s="385"/>
      <c r="E96" s="385"/>
      <c r="F96" s="385"/>
      <c r="G96" s="385"/>
      <c r="H96" s="385"/>
      <c r="I96" s="385"/>
      <c r="J96" s="385"/>
      <c r="K96" s="385"/>
      <c r="L96" s="385"/>
      <c r="M96" s="385"/>
      <c r="N96" s="385"/>
      <c r="O96" s="385"/>
      <c r="P96" s="385"/>
      <c r="Q96" s="385"/>
      <c r="R96" s="385"/>
      <c r="S96" s="385"/>
      <c r="T96" s="385"/>
      <c r="U96" s="385"/>
      <c r="V96" s="385"/>
      <c r="W96" s="385"/>
      <c r="X96" s="385"/>
      <c r="Y96" s="385"/>
      <c r="Z96" s="385"/>
      <c r="AA96" s="385"/>
      <c r="AB96" s="385"/>
      <c r="AC96" s="385"/>
      <c r="AD96" s="385"/>
      <c r="AE96" s="385"/>
      <c r="AF96" s="385"/>
      <c r="AG96" s="385"/>
      <c r="AH96" s="385"/>
      <c r="AI96" s="385"/>
      <c r="AJ96" s="385"/>
      <c r="AK96" s="385"/>
      <c r="AL96" s="385"/>
      <c r="AM96" s="385"/>
      <c r="AN96" s="385"/>
      <c r="AO96" s="385"/>
      <c r="AP96" s="385"/>
      <c r="AQ96" s="385"/>
      <c r="AR96" s="385"/>
    </row>
    <row r="97" spans="1:44" ht="20.25" customHeight="1">
      <c r="A97" s="385"/>
      <c r="B97" s="385"/>
      <c r="C97" s="385"/>
      <c r="D97" s="385"/>
      <c r="E97" s="385"/>
      <c r="F97" s="385"/>
      <c r="G97" s="385"/>
      <c r="H97" s="385"/>
      <c r="I97" s="385"/>
      <c r="J97" s="385"/>
      <c r="K97" s="385"/>
      <c r="L97" s="385"/>
      <c r="M97" s="385"/>
      <c r="N97" s="385"/>
      <c r="O97" s="385"/>
      <c r="P97" s="385"/>
      <c r="Q97" s="385"/>
      <c r="R97" s="385"/>
      <c r="S97" s="385"/>
      <c r="T97" s="385"/>
      <c r="U97" s="385"/>
      <c r="V97" s="385"/>
      <c r="W97" s="385"/>
      <c r="X97" s="385"/>
      <c r="Y97" s="385"/>
      <c r="Z97" s="385"/>
      <c r="AA97" s="385"/>
      <c r="AB97" s="385"/>
      <c r="AC97" s="385"/>
      <c r="AD97" s="385"/>
      <c r="AE97" s="385"/>
      <c r="AF97" s="385"/>
      <c r="AG97" s="385"/>
      <c r="AH97" s="385"/>
      <c r="AI97" s="385"/>
      <c r="AJ97" s="385"/>
      <c r="AK97" s="385"/>
      <c r="AL97" s="385"/>
      <c r="AM97" s="385"/>
      <c r="AN97" s="385"/>
      <c r="AO97" s="385"/>
      <c r="AP97" s="385"/>
      <c r="AQ97" s="385"/>
      <c r="AR97" s="385"/>
    </row>
    <row r="98" spans="1:44" ht="20.25" customHeight="1">
      <c r="A98" s="385"/>
      <c r="B98" s="385"/>
      <c r="C98" s="385"/>
      <c r="D98" s="385"/>
      <c r="E98" s="385"/>
      <c r="F98" s="385"/>
      <c r="G98" s="385"/>
      <c r="H98" s="385"/>
      <c r="I98" s="385"/>
      <c r="J98" s="385"/>
      <c r="K98" s="385"/>
      <c r="L98" s="385"/>
      <c r="M98" s="385"/>
      <c r="N98" s="385"/>
      <c r="O98" s="385"/>
      <c r="P98" s="385"/>
      <c r="Q98" s="385"/>
      <c r="R98" s="385"/>
      <c r="S98" s="385"/>
      <c r="T98" s="385"/>
      <c r="U98" s="385"/>
      <c r="V98" s="385"/>
      <c r="W98" s="385"/>
      <c r="X98" s="385"/>
      <c r="Y98" s="385"/>
      <c r="Z98" s="385"/>
      <c r="AA98" s="385"/>
      <c r="AB98" s="385"/>
      <c r="AC98" s="385"/>
      <c r="AD98" s="385"/>
      <c r="AE98" s="385"/>
      <c r="AF98" s="385"/>
      <c r="AG98" s="385"/>
      <c r="AH98" s="385"/>
      <c r="AI98" s="385"/>
      <c r="AJ98" s="385"/>
      <c r="AK98" s="385"/>
      <c r="AL98" s="385"/>
      <c r="AM98" s="385"/>
      <c r="AN98" s="385"/>
      <c r="AO98" s="385"/>
      <c r="AP98" s="385"/>
      <c r="AQ98" s="385"/>
      <c r="AR98" s="385"/>
    </row>
    <row r="99" spans="1:44" ht="20.25" customHeight="1">
      <c r="A99" s="385"/>
      <c r="B99" s="385"/>
      <c r="C99" s="385"/>
      <c r="D99" s="385"/>
      <c r="E99" s="385"/>
      <c r="F99" s="385"/>
      <c r="G99" s="385"/>
      <c r="H99" s="385"/>
      <c r="I99" s="385"/>
      <c r="J99" s="385"/>
      <c r="K99" s="385"/>
      <c r="L99" s="385"/>
      <c r="M99" s="385"/>
      <c r="N99" s="385"/>
      <c r="O99" s="385"/>
      <c r="P99" s="385"/>
      <c r="Q99" s="385"/>
      <c r="R99" s="385"/>
      <c r="S99" s="385"/>
      <c r="T99" s="385"/>
      <c r="U99" s="385"/>
      <c r="V99" s="385"/>
      <c r="W99" s="385"/>
      <c r="X99" s="385"/>
      <c r="Y99" s="385"/>
      <c r="Z99" s="385"/>
      <c r="AA99" s="385"/>
      <c r="AB99" s="385"/>
      <c r="AC99" s="385"/>
      <c r="AD99" s="385"/>
      <c r="AE99" s="385"/>
      <c r="AF99" s="385"/>
      <c r="AG99" s="385"/>
      <c r="AH99" s="385"/>
      <c r="AI99" s="385"/>
      <c r="AJ99" s="385"/>
      <c r="AK99" s="385"/>
      <c r="AL99" s="385"/>
      <c r="AM99" s="385"/>
      <c r="AN99" s="385"/>
      <c r="AO99" s="385"/>
      <c r="AP99" s="385"/>
      <c r="AQ99" s="385"/>
      <c r="AR99" s="385"/>
    </row>
    <row r="100" spans="1:44" ht="20.25" customHeight="1">
      <c r="A100" s="385"/>
      <c r="B100" s="385"/>
      <c r="C100" s="385"/>
      <c r="D100" s="385"/>
      <c r="E100" s="385"/>
      <c r="F100" s="385"/>
      <c r="G100" s="385"/>
      <c r="H100" s="385"/>
      <c r="I100" s="385"/>
      <c r="J100" s="385"/>
      <c r="K100" s="385"/>
      <c r="L100" s="385"/>
      <c r="M100" s="385"/>
      <c r="N100" s="385"/>
      <c r="O100" s="385"/>
      <c r="P100" s="385"/>
      <c r="Q100" s="385"/>
      <c r="R100" s="385"/>
      <c r="S100" s="385"/>
      <c r="T100" s="385"/>
      <c r="U100" s="385"/>
      <c r="V100" s="385"/>
      <c r="W100" s="385"/>
      <c r="X100" s="385"/>
      <c r="Y100" s="385"/>
      <c r="Z100" s="385"/>
      <c r="AA100" s="385"/>
      <c r="AB100" s="385"/>
      <c r="AC100" s="385"/>
      <c r="AD100" s="385"/>
      <c r="AE100" s="385"/>
      <c r="AF100" s="385"/>
      <c r="AG100" s="385"/>
      <c r="AH100" s="385"/>
      <c r="AI100" s="385"/>
      <c r="AJ100" s="385"/>
      <c r="AK100" s="385"/>
      <c r="AL100" s="385"/>
      <c r="AM100" s="385"/>
      <c r="AN100" s="385"/>
      <c r="AO100" s="385"/>
      <c r="AP100" s="385"/>
      <c r="AQ100" s="385"/>
      <c r="AR100" s="385"/>
    </row>
    <row r="101" spans="1:44" ht="20.25" customHeight="1">
      <c r="A101" s="385"/>
      <c r="B101" s="385"/>
      <c r="C101" s="385"/>
      <c r="D101" s="385"/>
      <c r="E101" s="385"/>
      <c r="F101" s="385"/>
      <c r="G101" s="385"/>
      <c r="H101" s="385"/>
      <c r="I101" s="385"/>
      <c r="J101" s="385"/>
      <c r="K101" s="385"/>
      <c r="L101" s="385"/>
      <c r="M101" s="385"/>
      <c r="N101" s="385"/>
      <c r="O101" s="385"/>
      <c r="P101" s="385"/>
      <c r="Q101" s="385"/>
      <c r="R101" s="385"/>
      <c r="S101" s="385"/>
      <c r="T101" s="385"/>
      <c r="U101" s="385"/>
      <c r="V101" s="385"/>
      <c r="W101" s="385"/>
      <c r="X101" s="385"/>
      <c r="Y101" s="385"/>
      <c r="Z101" s="385"/>
      <c r="AA101" s="385"/>
      <c r="AB101" s="385"/>
      <c r="AC101" s="385"/>
      <c r="AD101" s="385"/>
      <c r="AE101" s="385"/>
      <c r="AF101" s="385"/>
      <c r="AG101" s="385"/>
      <c r="AH101" s="385"/>
      <c r="AI101" s="385"/>
      <c r="AJ101" s="385"/>
      <c r="AK101" s="385"/>
      <c r="AL101" s="385"/>
      <c r="AM101" s="385"/>
      <c r="AN101" s="385"/>
      <c r="AO101" s="385"/>
      <c r="AP101" s="385"/>
      <c r="AQ101" s="385"/>
      <c r="AR101" s="385"/>
    </row>
    <row r="102" spans="1:44" ht="20.25" customHeight="1">
      <c r="A102" s="385"/>
      <c r="B102" s="385"/>
      <c r="C102" s="385"/>
      <c r="D102" s="385"/>
      <c r="E102" s="385"/>
      <c r="F102" s="385"/>
      <c r="G102" s="385"/>
      <c r="H102" s="385"/>
      <c r="I102" s="385"/>
      <c r="J102" s="385"/>
      <c r="K102" s="385"/>
      <c r="L102" s="385"/>
      <c r="M102" s="385"/>
      <c r="N102" s="385"/>
      <c r="O102" s="385"/>
      <c r="P102" s="385"/>
      <c r="Q102" s="385"/>
      <c r="R102" s="385"/>
      <c r="S102" s="385"/>
      <c r="T102" s="385"/>
      <c r="U102" s="385"/>
      <c r="V102" s="385"/>
      <c r="W102" s="385"/>
      <c r="X102" s="385"/>
      <c r="Y102" s="385"/>
      <c r="Z102" s="385"/>
      <c r="AA102" s="385"/>
      <c r="AB102" s="385"/>
      <c r="AC102" s="385"/>
      <c r="AD102" s="385"/>
      <c r="AE102" s="385"/>
      <c r="AF102" s="385"/>
      <c r="AG102" s="385"/>
      <c r="AH102" s="385"/>
      <c r="AI102" s="385"/>
      <c r="AJ102" s="385"/>
      <c r="AK102" s="385"/>
      <c r="AL102" s="385"/>
      <c r="AM102" s="385"/>
      <c r="AN102" s="385"/>
      <c r="AO102" s="385"/>
      <c r="AP102" s="385"/>
      <c r="AQ102" s="385"/>
      <c r="AR102" s="385"/>
    </row>
    <row r="103" spans="1:44" ht="20.25" customHeight="1">
      <c r="A103" s="385"/>
      <c r="B103" s="385"/>
      <c r="C103" s="385"/>
      <c r="D103" s="385"/>
      <c r="E103" s="385"/>
      <c r="F103" s="385"/>
      <c r="G103" s="385"/>
      <c r="H103" s="385"/>
      <c r="I103" s="385"/>
      <c r="J103" s="385"/>
      <c r="K103" s="385"/>
      <c r="L103" s="385"/>
      <c r="M103" s="385"/>
      <c r="N103" s="385"/>
      <c r="O103" s="385"/>
      <c r="P103" s="385"/>
      <c r="Q103" s="385"/>
      <c r="R103" s="385"/>
      <c r="S103" s="385"/>
      <c r="T103" s="385"/>
      <c r="U103" s="385"/>
      <c r="V103" s="385"/>
      <c r="W103" s="385"/>
      <c r="X103" s="385"/>
      <c r="Y103" s="385"/>
      <c r="Z103" s="385"/>
      <c r="AA103" s="385"/>
      <c r="AB103" s="385"/>
      <c r="AC103" s="385"/>
      <c r="AD103" s="385"/>
      <c r="AE103" s="385"/>
      <c r="AF103" s="385"/>
      <c r="AG103" s="385"/>
      <c r="AH103" s="385"/>
      <c r="AI103" s="385"/>
      <c r="AJ103" s="385"/>
      <c r="AK103" s="385"/>
      <c r="AL103" s="385"/>
      <c r="AM103" s="385"/>
      <c r="AN103" s="385"/>
      <c r="AO103" s="385"/>
      <c r="AP103" s="385"/>
      <c r="AQ103" s="385"/>
      <c r="AR103" s="385"/>
    </row>
    <row r="104" spans="1:44" ht="20.25" customHeight="1">
      <c r="A104" s="385"/>
      <c r="B104" s="385"/>
      <c r="C104" s="385"/>
      <c r="D104" s="385"/>
      <c r="E104" s="385"/>
      <c r="F104" s="385"/>
      <c r="G104" s="385"/>
      <c r="H104" s="385"/>
      <c r="I104" s="385"/>
      <c r="J104" s="385"/>
      <c r="K104" s="385"/>
      <c r="L104" s="385"/>
      <c r="M104" s="385"/>
      <c r="N104" s="385"/>
      <c r="O104" s="385"/>
      <c r="P104" s="385"/>
      <c r="Q104" s="385"/>
      <c r="R104" s="385"/>
      <c r="S104" s="385"/>
      <c r="T104" s="385"/>
      <c r="U104" s="385"/>
      <c r="V104" s="385"/>
      <c r="W104" s="385"/>
      <c r="X104" s="385"/>
      <c r="Y104" s="385"/>
      <c r="Z104" s="385"/>
      <c r="AA104" s="385"/>
      <c r="AB104" s="385"/>
      <c r="AC104" s="385"/>
      <c r="AD104" s="385"/>
      <c r="AE104" s="385"/>
      <c r="AF104" s="385"/>
      <c r="AG104" s="385"/>
      <c r="AH104" s="385"/>
      <c r="AI104" s="385"/>
      <c r="AJ104" s="385"/>
      <c r="AK104" s="385"/>
      <c r="AL104" s="385"/>
      <c r="AM104" s="385"/>
      <c r="AN104" s="385"/>
      <c r="AO104" s="385"/>
      <c r="AP104" s="385"/>
      <c r="AQ104" s="385"/>
      <c r="AR104" s="385"/>
    </row>
    <row r="105" spans="1:44" ht="20.25" customHeight="1">
      <c r="A105" s="385"/>
      <c r="B105" s="385"/>
      <c r="C105" s="385"/>
      <c r="D105" s="385"/>
      <c r="E105" s="385"/>
      <c r="F105" s="385"/>
      <c r="G105" s="385"/>
      <c r="H105" s="385"/>
      <c r="I105" s="385"/>
      <c r="J105" s="385"/>
      <c r="K105" s="385"/>
      <c r="L105" s="385"/>
      <c r="M105" s="385"/>
      <c r="N105" s="385"/>
      <c r="O105" s="385"/>
      <c r="P105" s="385"/>
      <c r="Q105" s="385"/>
      <c r="R105" s="385"/>
      <c r="S105" s="385"/>
      <c r="T105" s="385"/>
      <c r="U105" s="385"/>
      <c r="V105" s="385"/>
      <c r="W105" s="385"/>
      <c r="X105" s="385"/>
      <c r="Y105" s="385"/>
      <c r="Z105" s="385"/>
      <c r="AA105" s="385"/>
      <c r="AB105" s="385"/>
      <c r="AC105" s="385"/>
      <c r="AD105" s="385"/>
      <c r="AE105" s="385"/>
      <c r="AF105" s="385"/>
      <c r="AG105" s="385"/>
      <c r="AH105" s="385"/>
      <c r="AI105" s="385"/>
      <c r="AJ105" s="385"/>
      <c r="AK105" s="385"/>
      <c r="AL105" s="385"/>
      <c r="AM105" s="385"/>
      <c r="AN105" s="385"/>
      <c r="AO105" s="385"/>
      <c r="AP105" s="385"/>
      <c r="AQ105" s="385"/>
      <c r="AR105" s="385"/>
    </row>
    <row r="106" spans="1:44" ht="20.25" customHeight="1">
      <c r="A106" s="385"/>
      <c r="B106" s="385"/>
      <c r="C106" s="385"/>
      <c r="D106" s="385"/>
      <c r="E106" s="385"/>
      <c r="F106" s="385"/>
      <c r="G106" s="385"/>
      <c r="H106" s="385"/>
      <c r="I106" s="385"/>
      <c r="J106" s="385"/>
      <c r="K106" s="385"/>
      <c r="L106" s="385"/>
      <c r="M106" s="385"/>
      <c r="N106" s="385"/>
      <c r="O106" s="385"/>
      <c r="P106" s="385"/>
      <c r="Q106" s="385"/>
      <c r="R106" s="385"/>
      <c r="S106" s="385"/>
      <c r="T106" s="385"/>
      <c r="U106" s="385"/>
      <c r="V106" s="385"/>
      <c r="W106" s="385"/>
      <c r="X106" s="385"/>
      <c r="Y106" s="385"/>
      <c r="Z106" s="385"/>
      <c r="AA106" s="385"/>
      <c r="AB106" s="385"/>
      <c r="AC106" s="385"/>
      <c r="AD106" s="385"/>
      <c r="AE106" s="385"/>
      <c r="AF106" s="385"/>
      <c r="AG106" s="385"/>
      <c r="AH106" s="385"/>
      <c r="AI106" s="385"/>
      <c r="AJ106" s="385"/>
      <c r="AK106" s="385"/>
      <c r="AL106" s="385"/>
      <c r="AM106" s="385"/>
      <c r="AN106" s="385"/>
      <c r="AO106" s="385"/>
      <c r="AP106" s="385"/>
      <c r="AQ106" s="385"/>
      <c r="AR106" s="385"/>
    </row>
    <row r="107" spans="1:44" ht="20.25" customHeight="1">
      <c r="A107" s="385"/>
      <c r="B107" s="385"/>
      <c r="C107" s="385"/>
      <c r="D107" s="385"/>
      <c r="E107" s="385"/>
      <c r="F107" s="385"/>
      <c r="G107" s="385"/>
      <c r="H107" s="385"/>
      <c r="I107" s="385"/>
      <c r="J107" s="385"/>
      <c r="K107" s="385"/>
      <c r="L107" s="385"/>
      <c r="M107" s="385"/>
      <c r="N107" s="385"/>
      <c r="O107" s="385"/>
      <c r="P107" s="385"/>
      <c r="Q107" s="385"/>
      <c r="R107" s="385"/>
      <c r="S107" s="385"/>
      <c r="T107" s="385"/>
      <c r="U107" s="385"/>
      <c r="V107" s="385"/>
      <c r="W107" s="385"/>
      <c r="X107" s="385"/>
      <c r="Y107" s="385"/>
      <c r="Z107" s="385"/>
      <c r="AA107" s="385"/>
      <c r="AB107" s="385"/>
      <c r="AC107" s="385"/>
      <c r="AD107" s="385"/>
      <c r="AE107" s="385"/>
      <c r="AF107" s="385"/>
      <c r="AG107" s="385"/>
      <c r="AH107" s="385"/>
      <c r="AI107" s="385"/>
      <c r="AJ107" s="385"/>
      <c r="AK107" s="385"/>
      <c r="AL107" s="385"/>
      <c r="AM107" s="385"/>
      <c r="AN107" s="385"/>
      <c r="AO107" s="385"/>
      <c r="AP107" s="385"/>
      <c r="AQ107" s="385"/>
      <c r="AR107" s="385"/>
    </row>
    <row r="108" spans="1:44" ht="20.25" customHeight="1">
      <c r="A108" s="385"/>
      <c r="B108" s="385"/>
      <c r="C108" s="385"/>
      <c r="D108" s="385"/>
      <c r="E108" s="385"/>
      <c r="F108" s="385"/>
      <c r="G108" s="385"/>
      <c r="H108" s="385"/>
      <c r="I108" s="385"/>
      <c r="J108" s="385"/>
      <c r="K108" s="385"/>
      <c r="L108" s="385"/>
      <c r="M108" s="385"/>
      <c r="N108" s="385"/>
      <c r="O108" s="385"/>
      <c r="P108" s="385"/>
      <c r="Q108" s="385"/>
      <c r="R108" s="385"/>
      <c r="S108" s="385"/>
      <c r="T108" s="385"/>
      <c r="U108" s="385"/>
      <c r="V108" s="385"/>
      <c r="W108" s="385"/>
      <c r="X108" s="385"/>
      <c r="Y108" s="385"/>
      <c r="Z108" s="385"/>
      <c r="AA108" s="385"/>
      <c r="AB108" s="385"/>
      <c r="AC108" s="385"/>
      <c r="AD108" s="385"/>
      <c r="AE108" s="385"/>
      <c r="AF108" s="385"/>
      <c r="AG108" s="385"/>
      <c r="AH108" s="385"/>
      <c r="AI108" s="385"/>
      <c r="AJ108" s="385"/>
      <c r="AK108" s="385"/>
      <c r="AL108" s="385"/>
      <c r="AM108" s="385"/>
      <c r="AN108" s="385"/>
      <c r="AO108" s="385"/>
      <c r="AP108" s="385"/>
      <c r="AQ108" s="385"/>
      <c r="AR108" s="385"/>
    </row>
    <row r="109" spans="1:44" ht="20.25" customHeight="1">
      <c r="A109" s="385"/>
      <c r="B109" s="385"/>
      <c r="C109" s="385"/>
      <c r="D109" s="385"/>
      <c r="E109" s="385"/>
      <c r="F109" s="385"/>
      <c r="G109" s="385"/>
      <c r="H109" s="385"/>
      <c r="I109" s="385"/>
      <c r="J109" s="385"/>
      <c r="K109" s="385"/>
      <c r="L109" s="385"/>
      <c r="M109" s="385"/>
      <c r="N109" s="385"/>
      <c r="O109" s="385"/>
      <c r="P109" s="385"/>
      <c r="Q109" s="385"/>
      <c r="R109" s="385"/>
      <c r="S109" s="385"/>
      <c r="T109" s="385"/>
      <c r="U109" s="385"/>
      <c r="V109" s="385"/>
      <c r="W109" s="385"/>
      <c r="X109" s="385"/>
      <c r="Y109" s="385"/>
      <c r="Z109" s="385"/>
      <c r="AA109" s="385"/>
      <c r="AB109" s="385"/>
      <c r="AC109" s="385"/>
      <c r="AD109" s="385"/>
      <c r="AE109" s="385"/>
      <c r="AF109" s="385"/>
      <c r="AG109" s="385"/>
      <c r="AH109" s="385"/>
      <c r="AI109" s="385"/>
      <c r="AJ109" s="385"/>
      <c r="AK109" s="385"/>
      <c r="AL109" s="385"/>
      <c r="AM109" s="385"/>
      <c r="AN109" s="385"/>
      <c r="AO109" s="385"/>
      <c r="AP109" s="385"/>
      <c r="AQ109" s="385"/>
      <c r="AR109" s="385"/>
    </row>
    <row r="110" spans="1:44" ht="20.25" customHeight="1">
      <c r="A110" s="385"/>
      <c r="B110" s="385"/>
      <c r="C110" s="385"/>
      <c r="D110" s="385"/>
      <c r="E110" s="385"/>
      <c r="F110" s="385"/>
      <c r="G110" s="385"/>
      <c r="H110" s="385"/>
      <c r="I110" s="385"/>
      <c r="J110" s="385"/>
      <c r="K110" s="385"/>
      <c r="L110" s="385"/>
      <c r="M110" s="385"/>
      <c r="N110" s="385"/>
      <c r="O110" s="385"/>
      <c r="P110" s="385"/>
      <c r="Q110" s="385"/>
      <c r="R110" s="385"/>
      <c r="S110" s="385"/>
      <c r="T110" s="385"/>
      <c r="U110" s="385"/>
      <c r="V110" s="385"/>
      <c r="W110" s="385"/>
      <c r="X110" s="385"/>
      <c r="Y110" s="385"/>
      <c r="Z110" s="385"/>
      <c r="AA110" s="385"/>
      <c r="AB110" s="385"/>
      <c r="AC110" s="385"/>
      <c r="AD110" s="385"/>
      <c r="AE110" s="385"/>
      <c r="AF110" s="385"/>
      <c r="AG110" s="385"/>
      <c r="AH110" s="385"/>
      <c r="AI110" s="385"/>
      <c r="AJ110" s="385"/>
      <c r="AK110" s="385"/>
      <c r="AL110" s="385"/>
      <c r="AM110" s="385"/>
      <c r="AN110" s="385"/>
      <c r="AO110" s="385"/>
      <c r="AP110" s="385"/>
      <c r="AQ110" s="385"/>
      <c r="AR110" s="385"/>
    </row>
    <row r="111" spans="1:44" ht="20.25" customHeight="1">
      <c r="A111" s="385"/>
      <c r="B111" s="385"/>
      <c r="C111" s="385"/>
      <c r="D111" s="385"/>
      <c r="E111" s="385"/>
      <c r="F111" s="385"/>
      <c r="G111" s="385"/>
      <c r="H111" s="385"/>
      <c r="I111" s="385"/>
      <c r="J111" s="385"/>
      <c r="K111" s="385"/>
      <c r="L111" s="385"/>
      <c r="M111" s="385"/>
      <c r="N111" s="385"/>
      <c r="O111" s="385"/>
      <c r="P111" s="385"/>
      <c r="Q111" s="385"/>
      <c r="R111" s="385"/>
      <c r="S111" s="385"/>
      <c r="T111" s="385"/>
      <c r="U111" s="385"/>
      <c r="V111" s="385"/>
      <c r="W111" s="385"/>
      <c r="X111" s="385"/>
      <c r="Y111" s="385"/>
      <c r="Z111" s="385"/>
      <c r="AA111" s="385"/>
      <c r="AB111" s="385"/>
      <c r="AC111" s="385"/>
      <c r="AD111" s="385"/>
      <c r="AE111" s="385"/>
      <c r="AF111" s="385"/>
      <c r="AG111" s="385"/>
      <c r="AH111" s="385"/>
      <c r="AI111" s="385"/>
      <c r="AJ111" s="385"/>
      <c r="AK111" s="385"/>
      <c r="AL111" s="385"/>
      <c r="AM111" s="385"/>
      <c r="AN111" s="385"/>
      <c r="AO111" s="385"/>
      <c r="AP111" s="385"/>
      <c r="AQ111" s="385"/>
      <c r="AR111" s="385"/>
    </row>
    <row r="112" spans="1:44" ht="20.25" customHeight="1">
      <c r="A112" s="385"/>
      <c r="B112" s="385"/>
      <c r="C112" s="385"/>
      <c r="D112" s="385"/>
      <c r="E112" s="385"/>
      <c r="F112" s="385"/>
      <c r="G112" s="385"/>
      <c r="H112" s="385"/>
      <c r="I112" s="385"/>
      <c r="J112" s="385"/>
      <c r="K112" s="385"/>
      <c r="L112" s="385"/>
      <c r="M112" s="385"/>
      <c r="N112" s="385"/>
      <c r="O112" s="385"/>
      <c r="P112" s="385"/>
      <c r="Q112" s="385"/>
      <c r="R112" s="385"/>
      <c r="S112" s="385"/>
      <c r="T112" s="385"/>
      <c r="U112" s="385"/>
      <c r="V112" s="385"/>
      <c r="W112" s="385"/>
      <c r="X112" s="385"/>
      <c r="Y112" s="385"/>
      <c r="Z112" s="385"/>
      <c r="AA112" s="385"/>
      <c r="AB112" s="385"/>
      <c r="AC112" s="385"/>
      <c r="AD112" s="385"/>
      <c r="AE112" s="385"/>
      <c r="AF112" s="385"/>
      <c r="AG112" s="385"/>
      <c r="AH112" s="385"/>
      <c r="AI112" s="385"/>
      <c r="AJ112" s="385"/>
      <c r="AK112" s="385"/>
      <c r="AL112" s="385"/>
      <c r="AM112" s="385"/>
      <c r="AN112" s="385"/>
      <c r="AO112" s="385"/>
      <c r="AP112" s="385"/>
      <c r="AQ112" s="385"/>
      <c r="AR112" s="385"/>
    </row>
    <row r="113" spans="1:44" ht="20.25" customHeight="1">
      <c r="A113" s="385"/>
      <c r="B113" s="385"/>
      <c r="C113" s="385"/>
      <c r="D113" s="385"/>
      <c r="E113" s="385"/>
      <c r="F113" s="385"/>
      <c r="G113" s="385"/>
      <c r="H113" s="385"/>
      <c r="I113" s="385"/>
      <c r="J113" s="385"/>
      <c r="K113" s="385"/>
      <c r="L113" s="385"/>
      <c r="M113" s="385"/>
      <c r="N113" s="385"/>
      <c r="O113" s="385"/>
      <c r="P113" s="385"/>
      <c r="Q113" s="385"/>
      <c r="R113" s="385"/>
      <c r="S113" s="385"/>
      <c r="T113" s="385"/>
      <c r="U113" s="385"/>
      <c r="V113" s="385"/>
      <c r="W113" s="385"/>
      <c r="X113" s="385"/>
      <c r="Y113" s="385"/>
      <c r="Z113" s="385"/>
      <c r="AA113" s="385"/>
      <c r="AB113" s="385"/>
      <c r="AC113" s="385"/>
      <c r="AD113" s="385"/>
      <c r="AE113" s="385"/>
      <c r="AF113" s="385"/>
      <c r="AG113" s="385"/>
      <c r="AH113" s="385"/>
      <c r="AI113" s="385"/>
      <c r="AJ113" s="385"/>
      <c r="AK113" s="385"/>
      <c r="AL113" s="385"/>
      <c r="AM113" s="385"/>
      <c r="AN113" s="385"/>
      <c r="AO113" s="385"/>
      <c r="AP113" s="385"/>
      <c r="AQ113" s="385"/>
      <c r="AR113" s="385"/>
    </row>
    <row r="114" spans="1:44" ht="20.25" customHeight="1">
      <c r="A114" s="385"/>
      <c r="B114" s="385"/>
      <c r="C114" s="385"/>
      <c r="D114" s="385"/>
      <c r="E114" s="385"/>
      <c r="F114" s="385"/>
      <c r="G114" s="385"/>
      <c r="H114" s="385"/>
      <c r="I114" s="385"/>
      <c r="J114" s="385"/>
      <c r="K114" s="385"/>
      <c r="L114" s="385"/>
      <c r="M114" s="385"/>
      <c r="N114" s="385"/>
      <c r="O114" s="385"/>
      <c r="P114" s="385"/>
      <c r="Q114" s="385"/>
      <c r="R114" s="385"/>
      <c r="S114" s="385"/>
      <c r="T114" s="385"/>
      <c r="U114" s="385"/>
      <c r="V114" s="385"/>
      <c r="W114" s="385"/>
      <c r="X114" s="385"/>
      <c r="Y114" s="385"/>
      <c r="Z114" s="385"/>
      <c r="AA114" s="385"/>
      <c r="AB114" s="385"/>
      <c r="AC114" s="385"/>
      <c r="AD114" s="385"/>
      <c r="AE114" s="385"/>
      <c r="AF114" s="385"/>
      <c r="AG114" s="385"/>
      <c r="AH114" s="385"/>
      <c r="AI114" s="385"/>
      <c r="AJ114" s="385"/>
      <c r="AK114" s="385"/>
      <c r="AL114" s="385"/>
      <c r="AM114" s="385"/>
      <c r="AN114" s="385"/>
      <c r="AO114" s="385"/>
      <c r="AP114" s="385"/>
      <c r="AQ114" s="385"/>
      <c r="AR114" s="385"/>
    </row>
    <row r="115" spans="1:44" ht="20.25" customHeight="1">
      <c r="A115" s="385"/>
      <c r="B115" s="385"/>
      <c r="C115" s="385"/>
      <c r="D115" s="385"/>
      <c r="E115" s="385"/>
      <c r="F115" s="385"/>
      <c r="G115" s="385"/>
      <c r="H115" s="385"/>
      <c r="I115" s="385"/>
      <c r="J115" s="385"/>
      <c r="K115" s="385"/>
      <c r="L115" s="385"/>
      <c r="M115" s="385"/>
      <c r="N115" s="385"/>
      <c r="O115" s="385"/>
      <c r="P115" s="385"/>
      <c r="Q115" s="385"/>
      <c r="R115" s="385"/>
      <c r="S115" s="385"/>
      <c r="T115" s="385"/>
      <c r="U115" s="385"/>
      <c r="V115" s="385"/>
      <c r="W115" s="385"/>
      <c r="X115" s="385"/>
      <c r="Y115" s="385"/>
      <c r="Z115" s="385"/>
      <c r="AA115" s="385"/>
      <c r="AB115" s="385"/>
      <c r="AC115" s="385"/>
      <c r="AD115" s="385"/>
      <c r="AE115" s="385"/>
      <c r="AF115" s="385"/>
      <c r="AG115" s="385"/>
      <c r="AH115" s="385"/>
      <c r="AI115" s="385"/>
      <c r="AJ115" s="385"/>
      <c r="AK115" s="385"/>
      <c r="AL115" s="385"/>
      <c r="AM115" s="385"/>
      <c r="AN115" s="385"/>
      <c r="AO115" s="385"/>
      <c r="AP115" s="385"/>
      <c r="AQ115" s="385"/>
      <c r="AR115" s="385"/>
    </row>
    <row r="116" spans="1:44" ht="20.25" customHeight="1">
      <c r="A116" s="385"/>
      <c r="B116" s="385"/>
      <c r="C116" s="385"/>
      <c r="D116" s="385"/>
      <c r="E116" s="385"/>
      <c r="F116" s="385"/>
      <c r="G116" s="385"/>
      <c r="H116" s="385"/>
      <c r="I116" s="385"/>
      <c r="J116" s="385"/>
      <c r="K116" s="385"/>
      <c r="L116" s="385"/>
      <c r="M116" s="385"/>
      <c r="N116" s="385"/>
      <c r="O116" s="385"/>
      <c r="P116" s="385"/>
      <c r="Q116" s="385"/>
      <c r="R116" s="385"/>
      <c r="S116" s="385"/>
      <c r="T116" s="385"/>
      <c r="U116" s="385"/>
      <c r="V116" s="385"/>
      <c r="W116" s="385"/>
      <c r="X116" s="385"/>
      <c r="Y116" s="385"/>
      <c r="Z116" s="385"/>
      <c r="AA116" s="385"/>
      <c r="AB116" s="385"/>
      <c r="AC116" s="385"/>
      <c r="AD116" s="385"/>
      <c r="AE116" s="385"/>
      <c r="AF116" s="385"/>
      <c r="AG116" s="385"/>
      <c r="AH116" s="385"/>
      <c r="AI116" s="385"/>
      <c r="AJ116" s="385"/>
      <c r="AK116" s="385"/>
      <c r="AL116" s="385"/>
      <c r="AM116" s="385"/>
      <c r="AN116" s="385"/>
      <c r="AO116" s="385"/>
      <c r="AP116" s="385"/>
      <c r="AQ116" s="385"/>
      <c r="AR116" s="385"/>
    </row>
    <row r="117" spans="1:44" ht="20.25" customHeight="1">
      <c r="A117" s="385"/>
      <c r="B117" s="385"/>
      <c r="C117" s="385"/>
      <c r="D117" s="385"/>
      <c r="E117" s="385"/>
      <c r="F117" s="385"/>
      <c r="G117" s="385"/>
      <c r="H117" s="385"/>
      <c r="I117" s="385"/>
      <c r="J117" s="385"/>
      <c r="K117" s="385"/>
      <c r="L117" s="385"/>
      <c r="M117" s="385"/>
      <c r="N117" s="385"/>
      <c r="O117" s="385"/>
      <c r="P117" s="385"/>
      <c r="Q117" s="385"/>
      <c r="R117" s="385"/>
      <c r="S117" s="385"/>
      <c r="T117" s="385"/>
      <c r="U117" s="385"/>
      <c r="V117" s="385"/>
      <c r="W117" s="385"/>
      <c r="X117" s="385"/>
      <c r="Y117" s="385"/>
      <c r="Z117" s="385"/>
      <c r="AA117" s="385"/>
      <c r="AB117" s="385"/>
      <c r="AC117" s="385"/>
      <c r="AD117" s="385"/>
      <c r="AE117" s="385"/>
      <c r="AF117" s="385"/>
      <c r="AG117" s="385"/>
      <c r="AH117" s="385"/>
      <c r="AI117" s="385"/>
      <c r="AJ117" s="385"/>
      <c r="AK117" s="385"/>
      <c r="AL117" s="385"/>
      <c r="AM117" s="385"/>
      <c r="AN117" s="385"/>
      <c r="AO117" s="385"/>
      <c r="AP117" s="385"/>
      <c r="AQ117" s="385"/>
      <c r="AR117" s="385"/>
    </row>
    <row r="118" spans="1:44" ht="20.25" customHeight="1">
      <c r="A118" s="385"/>
      <c r="B118" s="385"/>
      <c r="C118" s="385"/>
      <c r="D118" s="385"/>
      <c r="E118" s="385"/>
      <c r="F118" s="385"/>
      <c r="G118" s="385"/>
      <c r="H118" s="385"/>
      <c r="I118" s="385"/>
      <c r="J118" s="385"/>
      <c r="K118" s="385"/>
      <c r="L118" s="385"/>
      <c r="M118" s="385"/>
      <c r="N118" s="385"/>
      <c r="O118" s="385"/>
      <c r="P118" s="385"/>
      <c r="Q118" s="385"/>
      <c r="R118" s="385"/>
      <c r="S118" s="385"/>
      <c r="T118" s="385"/>
      <c r="U118" s="385"/>
      <c r="V118" s="385"/>
      <c r="W118" s="385"/>
      <c r="X118" s="385"/>
      <c r="Y118" s="385"/>
      <c r="Z118" s="385"/>
      <c r="AA118" s="385"/>
      <c r="AB118" s="385"/>
      <c r="AC118" s="385"/>
      <c r="AD118" s="385"/>
      <c r="AE118" s="385"/>
      <c r="AF118" s="385"/>
      <c r="AG118" s="385"/>
      <c r="AH118" s="385"/>
      <c r="AI118" s="385"/>
      <c r="AJ118" s="385"/>
      <c r="AK118" s="385"/>
      <c r="AL118" s="385"/>
      <c r="AM118" s="385"/>
      <c r="AN118" s="385"/>
      <c r="AO118" s="385"/>
      <c r="AP118" s="385"/>
      <c r="AQ118" s="385"/>
      <c r="AR118" s="385"/>
    </row>
    <row r="119" spans="1:44" ht="20.25" customHeight="1">
      <c r="A119" s="385"/>
      <c r="B119" s="385"/>
      <c r="C119" s="385"/>
      <c r="D119" s="385"/>
      <c r="E119" s="385"/>
      <c r="F119" s="385"/>
      <c r="G119" s="385"/>
      <c r="H119" s="385"/>
      <c r="I119" s="385"/>
      <c r="J119" s="385"/>
      <c r="K119" s="385"/>
      <c r="L119" s="385"/>
      <c r="M119" s="385"/>
      <c r="N119" s="385"/>
      <c r="O119" s="385"/>
      <c r="P119" s="385"/>
      <c r="Q119" s="385"/>
      <c r="R119" s="385"/>
      <c r="S119" s="385"/>
      <c r="T119" s="385"/>
      <c r="U119" s="385"/>
      <c r="V119" s="385"/>
      <c r="W119" s="385"/>
      <c r="X119" s="385"/>
      <c r="Y119" s="385"/>
      <c r="Z119" s="385"/>
      <c r="AA119" s="385"/>
      <c r="AB119" s="385"/>
      <c r="AC119" s="385"/>
      <c r="AD119" s="385"/>
      <c r="AE119" s="385"/>
      <c r="AF119" s="385"/>
      <c r="AG119" s="385"/>
      <c r="AH119" s="385"/>
      <c r="AI119" s="385"/>
      <c r="AJ119" s="385"/>
      <c r="AK119" s="385"/>
      <c r="AL119" s="385"/>
      <c r="AM119" s="385"/>
      <c r="AN119" s="385"/>
      <c r="AO119" s="385"/>
      <c r="AP119" s="385"/>
      <c r="AQ119" s="385"/>
      <c r="AR119" s="385"/>
    </row>
    <row r="120" spans="1:44" ht="20.25" customHeight="1">
      <c r="A120" s="385"/>
      <c r="B120" s="385"/>
      <c r="C120" s="385"/>
      <c r="D120" s="385"/>
      <c r="E120" s="385"/>
      <c r="F120" s="385"/>
      <c r="G120" s="385"/>
      <c r="H120" s="385"/>
      <c r="I120" s="385"/>
      <c r="J120" s="385"/>
      <c r="K120" s="385"/>
      <c r="L120" s="385"/>
      <c r="M120" s="385"/>
      <c r="N120" s="385"/>
      <c r="O120" s="385"/>
      <c r="P120" s="385"/>
      <c r="Q120" s="385"/>
      <c r="R120" s="385"/>
      <c r="S120" s="385"/>
      <c r="T120" s="385"/>
      <c r="U120" s="385"/>
      <c r="V120" s="385"/>
      <c r="W120" s="385"/>
      <c r="X120" s="385"/>
      <c r="Y120" s="385"/>
      <c r="Z120" s="385"/>
      <c r="AA120" s="385"/>
      <c r="AB120" s="385"/>
      <c r="AC120" s="385"/>
      <c r="AD120" s="385"/>
      <c r="AE120" s="385"/>
      <c r="AF120" s="385"/>
      <c r="AG120" s="385"/>
      <c r="AH120" s="385"/>
      <c r="AI120" s="385"/>
      <c r="AJ120" s="385"/>
      <c r="AK120" s="385"/>
      <c r="AL120" s="385"/>
      <c r="AM120" s="385"/>
      <c r="AN120" s="385"/>
      <c r="AO120" s="385"/>
      <c r="AP120" s="385"/>
      <c r="AQ120" s="385"/>
      <c r="AR120" s="385"/>
    </row>
    <row r="121" spans="1:44" ht="20.25" customHeight="1">
      <c r="A121" s="385"/>
      <c r="B121" s="385"/>
      <c r="C121" s="385"/>
      <c r="D121" s="385"/>
      <c r="E121" s="385"/>
      <c r="F121" s="385"/>
      <c r="G121" s="385"/>
      <c r="H121" s="385"/>
      <c r="I121" s="385"/>
      <c r="J121" s="385"/>
      <c r="K121" s="385"/>
      <c r="L121" s="385"/>
      <c r="M121" s="385"/>
      <c r="N121" s="385"/>
      <c r="O121" s="385"/>
      <c r="P121" s="385"/>
      <c r="Q121" s="385"/>
      <c r="R121" s="385"/>
      <c r="S121" s="385"/>
      <c r="T121" s="385"/>
      <c r="U121" s="385"/>
      <c r="V121" s="385"/>
      <c r="W121" s="385"/>
      <c r="X121" s="385"/>
      <c r="Y121" s="385"/>
      <c r="Z121" s="385"/>
      <c r="AA121" s="385"/>
      <c r="AB121" s="385"/>
      <c r="AC121" s="385"/>
      <c r="AD121" s="385"/>
      <c r="AE121" s="385"/>
      <c r="AF121" s="385"/>
      <c r="AG121" s="385"/>
      <c r="AH121" s="385"/>
      <c r="AI121" s="385"/>
      <c r="AJ121" s="385"/>
      <c r="AK121" s="385"/>
      <c r="AL121" s="385"/>
      <c r="AM121" s="385"/>
      <c r="AN121" s="385"/>
      <c r="AO121" s="385"/>
      <c r="AP121" s="385"/>
      <c r="AQ121" s="385"/>
      <c r="AR121" s="385"/>
    </row>
    <row r="122" spans="1:44" ht="20.25" customHeight="1">
      <c r="A122" s="385"/>
      <c r="B122" s="385"/>
      <c r="C122" s="385"/>
      <c r="D122" s="385"/>
      <c r="E122" s="385"/>
      <c r="F122" s="385"/>
      <c r="G122" s="385"/>
      <c r="H122" s="385"/>
      <c r="I122" s="385"/>
      <c r="J122" s="385"/>
      <c r="K122" s="385"/>
      <c r="L122" s="385"/>
      <c r="M122" s="385"/>
      <c r="N122" s="385"/>
      <c r="O122" s="385"/>
      <c r="P122" s="385"/>
      <c r="Q122" s="385"/>
      <c r="R122" s="385"/>
      <c r="S122" s="385"/>
      <c r="T122" s="385"/>
      <c r="U122" s="385"/>
      <c r="V122" s="385"/>
      <c r="W122" s="385"/>
      <c r="X122" s="385"/>
      <c r="Y122" s="385"/>
      <c r="Z122" s="385"/>
      <c r="AA122" s="385"/>
      <c r="AB122" s="385"/>
      <c r="AC122" s="385"/>
      <c r="AD122" s="385"/>
      <c r="AE122" s="385"/>
      <c r="AF122" s="385"/>
      <c r="AG122" s="385"/>
      <c r="AH122" s="385"/>
      <c r="AI122" s="385"/>
      <c r="AJ122" s="385"/>
      <c r="AK122" s="385"/>
      <c r="AL122" s="385"/>
      <c r="AM122" s="385"/>
      <c r="AN122" s="385"/>
      <c r="AO122" s="385"/>
      <c r="AP122" s="385"/>
      <c r="AQ122" s="385"/>
      <c r="AR122" s="385"/>
    </row>
    <row r="123" spans="1:44" ht="20.25" customHeight="1">
      <c r="A123" s="385"/>
      <c r="B123" s="385"/>
      <c r="C123" s="385"/>
      <c r="D123" s="385"/>
      <c r="E123" s="385"/>
      <c r="F123" s="385"/>
      <c r="G123" s="385"/>
      <c r="H123" s="385"/>
      <c r="I123" s="385"/>
      <c r="J123" s="385"/>
      <c r="K123" s="385"/>
      <c r="L123" s="385"/>
      <c r="M123" s="385"/>
      <c r="N123" s="385"/>
      <c r="O123" s="385"/>
      <c r="P123" s="385"/>
      <c r="Q123" s="385"/>
      <c r="R123" s="385"/>
      <c r="S123" s="385"/>
      <c r="T123" s="385"/>
      <c r="U123" s="385"/>
      <c r="V123" s="385"/>
      <c r="W123" s="385"/>
      <c r="X123" s="385"/>
      <c r="Y123" s="385"/>
      <c r="Z123" s="385"/>
      <c r="AA123" s="385"/>
      <c r="AB123" s="385"/>
      <c r="AC123" s="385"/>
      <c r="AD123" s="385"/>
      <c r="AE123" s="385"/>
      <c r="AF123" s="385"/>
      <c r="AG123" s="385"/>
      <c r="AH123" s="385"/>
      <c r="AI123" s="385"/>
      <c r="AJ123" s="385"/>
      <c r="AK123" s="385"/>
      <c r="AL123" s="385"/>
      <c r="AM123" s="385"/>
      <c r="AN123" s="385"/>
      <c r="AO123" s="385"/>
      <c r="AP123" s="385"/>
      <c r="AQ123" s="385"/>
      <c r="AR123" s="385"/>
    </row>
    <row r="124" spans="1:44" ht="20.25" customHeight="1">
      <c r="A124" s="385"/>
      <c r="B124" s="385"/>
      <c r="C124" s="385"/>
      <c r="D124" s="385"/>
      <c r="E124" s="385"/>
      <c r="F124" s="385"/>
      <c r="G124" s="385"/>
      <c r="H124" s="385"/>
      <c r="I124" s="385"/>
      <c r="J124" s="385"/>
      <c r="K124" s="385"/>
      <c r="L124" s="385"/>
      <c r="M124" s="385"/>
      <c r="N124" s="385"/>
      <c r="O124" s="385"/>
      <c r="P124" s="385"/>
      <c r="Q124" s="385"/>
      <c r="R124" s="385"/>
      <c r="S124" s="385"/>
      <c r="T124" s="385"/>
      <c r="U124" s="385"/>
      <c r="V124" s="385"/>
      <c r="W124" s="385"/>
      <c r="X124" s="385"/>
      <c r="Y124" s="385"/>
      <c r="Z124" s="385"/>
      <c r="AA124" s="385"/>
      <c r="AB124" s="385"/>
      <c r="AC124" s="385"/>
      <c r="AD124" s="385"/>
      <c r="AE124" s="385"/>
      <c r="AF124" s="385"/>
      <c r="AG124" s="385"/>
      <c r="AH124" s="385"/>
      <c r="AI124" s="385"/>
      <c r="AJ124" s="385"/>
      <c r="AK124" s="385"/>
      <c r="AL124" s="385"/>
      <c r="AM124" s="385"/>
      <c r="AN124" s="385"/>
      <c r="AO124" s="385"/>
      <c r="AP124" s="385"/>
      <c r="AQ124" s="385"/>
      <c r="AR124" s="385"/>
    </row>
    <row r="125" spans="1:44" ht="20.25" customHeight="1">
      <c r="A125" s="385"/>
      <c r="B125" s="385"/>
      <c r="C125" s="385"/>
      <c r="D125" s="385"/>
      <c r="E125" s="385"/>
      <c r="F125" s="385"/>
      <c r="G125" s="385"/>
      <c r="H125" s="385"/>
      <c r="I125" s="385"/>
      <c r="J125" s="385"/>
      <c r="K125" s="385"/>
      <c r="L125" s="385"/>
      <c r="M125" s="385"/>
      <c r="N125" s="385"/>
      <c r="O125" s="385"/>
      <c r="P125" s="385"/>
      <c r="Q125" s="385"/>
      <c r="R125" s="385"/>
      <c r="S125" s="385"/>
      <c r="T125" s="385"/>
      <c r="U125" s="385"/>
      <c r="V125" s="385"/>
      <c r="W125" s="385"/>
      <c r="X125" s="385"/>
      <c r="Y125" s="385"/>
      <c r="Z125" s="385"/>
      <c r="AA125" s="385"/>
      <c r="AB125" s="385"/>
      <c r="AC125" s="385"/>
      <c r="AD125" s="385"/>
      <c r="AE125" s="385"/>
      <c r="AF125" s="385"/>
      <c r="AG125" s="385"/>
      <c r="AH125" s="385"/>
      <c r="AI125" s="385"/>
      <c r="AJ125" s="385"/>
      <c r="AK125" s="385"/>
      <c r="AL125" s="385"/>
      <c r="AM125" s="385"/>
      <c r="AN125" s="385"/>
      <c r="AO125" s="385"/>
      <c r="AP125" s="385"/>
      <c r="AQ125" s="385"/>
      <c r="AR125" s="385"/>
    </row>
    <row r="126" spans="1:44" ht="20.25" customHeight="1">
      <c r="A126" s="385"/>
      <c r="B126" s="385"/>
      <c r="C126" s="385"/>
      <c r="D126" s="385"/>
      <c r="E126" s="385"/>
      <c r="F126" s="385"/>
      <c r="G126" s="385"/>
      <c r="H126" s="385"/>
      <c r="I126" s="385"/>
      <c r="J126" s="385"/>
      <c r="K126" s="385"/>
      <c r="L126" s="385"/>
      <c r="M126" s="385"/>
      <c r="N126" s="385"/>
      <c r="O126" s="385"/>
      <c r="P126" s="385"/>
      <c r="Q126" s="385"/>
      <c r="R126" s="385"/>
      <c r="S126" s="385"/>
      <c r="T126" s="385"/>
      <c r="U126" s="385"/>
      <c r="V126" s="385"/>
      <c r="W126" s="385"/>
      <c r="X126" s="385"/>
      <c r="Y126" s="385"/>
      <c r="Z126" s="385"/>
      <c r="AA126" s="385"/>
      <c r="AB126" s="385"/>
      <c r="AC126" s="385"/>
      <c r="AD126" s="385"/>
      <c r="AE126" s="385"/>
      <c r="AF126" s="385"/>
      <c r="AG126" s="385"/>
      <c r="AH126" s="385"/>
      <c r="AI126" s="385"/>
      <c r="AJ126" s="385"/>
      <c r="AK126" s="385"/>
      <c r="AL126" s="385"/>
      <c r="AM126" s="385"/>
      <c r="AN126" s="385"/>
      <c r="AO126" s="385"/>
      <c r="AP126" s="385"/>
      <c r="AQ126" s="385"/>
      <c r="AR126" s="385"/>
    </row>
    <row r="127" spans="1:44" ht="20.25" customHeight="1">
      <c r="A127" s="385"/>
      <c r="B127" s="385"/>
      <c r="C127" s="385"/>
      <c r="D127" s="385"/>
      <c r="E127" s="385"/>
      <c r="F127" s="385"/>
      <c r="G127" s="385"/>
      <c r="H127" s="385"/>
      <c r="I127" s="385"/>
      <c r="J127" s="385"/>
      <c r="K127" s="385"/>
      <c r="L127" s="385"/>
      <c r="M127" s="385"/>
      <c r="N127" s="385"/>
      <c r="O127" s="385"/>
      <c r="P127" s="385"/>
      <c r="Q127" s="385"/>
      <c r="R127" s="385"/>
      <c r="S127" s="385"/>
      <c r="T127" s="385"/>
      <c r="U127" s="385"/>
      <c r="V127" s="385"/>
      <c r="W127" s="385"/>
      <c r="X127" s="385"/>
      <c r="Y127" s="385"/>
      <c r="Z127" s="385"/>
      <c r="AA127" s="385"/>
      <c r="AB127" s="385"/>
      <c r="AC127" s="385"/>
      <c r="AD127" s="385"/>
      <c r="AE127" s="385"/>
      <c r="AF127" s="385"/>
      <c r="AG127" s="385"/>
      <c r="AH127" s="385"/>
      <c r="AI127" s="385"/>
      <c r="AJ127" s="385"/>
      <c r="AK127" s="385"/>
      <c r="AL127" s="385"/>
      <c r="AM127" s="385"/>
      <c r="AN127" s="385"/>
      <c r="AO127" s="385"/>
      <c r="AP127" s="385"/>
      <c r="AQ127" s="385"/>
      <c r="AR127" s="385"/>
    </row>
    <row r="128" spans="1:44" ht="20.25" customHeight="1">
      <c r="A128" s="385"/>
      <c r="B128" s="385"/>
      <c r="C128" s="385"/>
      <c r="D128" s="385"/>
      <c r="E128" s="385"/>
      <c r="F128" s="385"/>
      <c r="G128" s="385"/>
      <c r="H128" s="385"/>
      <c r="I128" s="385"/>
      <c r="J128" s="385"/>
      <c r="K128" s="385"/>
      <c r="L128" s="385"/>
      <c r="M128" s="385"/>
      <c r="N128" s="385"/>
      <c r="O128" s="385"/>
      <c r="P128" s="385"/>
      <c r="Q128" s="385"/>
      <c r="R128" s="385"/>
      <c r="S128" s="385"/>
      <c r="T128" s="385"/>
      <c r="U128" s="385"/>
      <c r="V128" s="385"/>
      <c r="W128" s="385"/>
      <c r="X128" s="385"/>
      <c r="Y128" s="385"/>
      <c r="Z128" s="385"/>
      <c r="AA128" s="385"/>
      <c r="AB128" s="385"/>
      <c r="AC128" s="385"/>
      <c r="AD128" s="385"/>
      <c r="AE128" s="385"/>
      <c r="AF128" s="385"/>
      <c r="AG128" s="385"/>
      <c r="AH128" s="385"/>
      <c r="AI128" s="385"/>
      <c r="AJ128" s="385"/>
      <c r="AK128" s="385"/>
      <c r="AL128" s="385"/>
      <c r="AM128" s="385"/>
      <c r="AN128" s="385"/>
      <c r="AO128" s="385"/>
      <c r="AP128" s="385"/>
      <c r="AQ128" s="385"/>
      <c r="AR128" s="385"/>
    </row>
    <row r="129" spans="1:44" ht="20.25" customHeight="1">
      <c r="A129" s="385"/>
      <c r="B129" s="385"/>
      <c r="C129" s="385"/>
      <c r="D129" s="385"/>
      <c r="E129" s="385"/>
      <c r="F129" s="385"/>
      <c r="G129" s="385"/>
      <c r="H129" s="385"/>
      <c r="I129" s="385"/>
      <c r="J129" s="385"/>
      <c r="K129" s="385"/>
      <c r="L129" s="385"/>
      <c r="M129" s="385"/>
      <c r="N129" s="385"/>
      <c r="O129" s="385"/>
      <c r="P129" s="385"/>
      <c r="Q129" s="385"/>
      <c r="R129" s="385"/>
      <c r="S129" s="385"/>
      <c r="T129" s="385"/>
      <c r="U129" s="385"/>
      <c r="V129" s="385"/>
      <c r="W129" s="385"/>
      <c r="X129" s="385"/>
      <c r="Y129" s="385"/>
      <c r="Z129" s="385"/>
      <c r="AA129" s="385"/>
      <c r="AB129" s="385"/>
      <c r="AC129" s="385"/>
      <c r="AD129" s="385"/>
      <c r="AE129" s="385"/>
      <c r="AF129" s="385"/>
      <c r="AG129" s="385"/>
      <c r="AH129" s="385"/>
      <c r="AI129" s="385"/>
      <c r="AJ129" s="385"/>
      <c r="AK129" s="385"/>
      <c r="AL129" s="385"/>
      <c r="AM129" s="385"/>
      <c r="AN129" s="385"/>
      <c r="AO129" s="385"/>
      <c r="AP129" s="385"/>
      <c r="AQ129" s="385"/>
      <c r="AR129" s="385"/>
    </row>
    <row r="130" spans="1:44" ht="20.25" customHeight="1">
      <c r="A130" s="385"/>
      <c r="B130" s="385"/>
      <c r="C130" s="385"/>
      <c r="D130" s="385"/>
      <c r="E130" s="385"/>
      <c r="F130" s="385"/>
      <c r="G130" s="385"/>
      <c r="H130" s="385"/>
      <c r="I130" s="385"/>
      <c r="J130" s="385"/>
      <c r="K130" s="385"/>
      <c r="L130" s="385"/>
      <c r="M130" s="385"/>
      <c r="N130" s="385"/>
      <c r="O130" s="385"/>
      <c r="P130" s="385"/>
      <c r="Q130" s="385"/>
      <c r="R130" s="385"/>
      <c r="S130" s="385"/>
      <c r="T130" s="385"/>
      <c r="U130" s="385"/>
      <c r="V130" s="385"/>
      <c r="W130" s="385"/>
      <c r="X130" s="385"/>
      <c r="Y130" s="385"/>
      <c r="Z130" s="385"/>
      <c r="AA130" s="385"/>
      <c r="AB130" s="385"/>
      <c r="AC130" s="385"/>
      <c r="AD130" s="385"/>
      <c r="AE130" s="385"/>
      <c r="AF130" s="385"/>
      <c r="AG130" s="385"/>
      <c r="AH130" s="385"/>
      <c r="AI130" s="385"/>
      <c r="AJ130" s="385"/>
      <c r="AK130" s="385"/>
      <c r="AL130" s="385"/>
      <c r="AM130" s="385"/>
      <c r="AN130" s="385"/>
      <c r="AO130" s="385"/>
      <c r="AP130" s="385"/>
      <c r="AQ130" s="385"/>
      <c r="AR130" s="385"/>
    </row>
    <row r="131" spans="1:44" ht="20.25" customHeight="1">
      <c r="A131" s="385"/>
      <c r="B131" s="385"/>
      <c r="C131" s="385"/>
      <c r="D131" s="385"/>
      <c r="E131" s="385"/>
      <c r="F131" s="385"/>
      <c r="G131" s="385"/>
      <c r="H131" s="385"/>
      <c r="I131" s="385"/>
      <c r="J131" s="385"/>
      <c r="K131" s="385"/>
      <c r="L131" s="385"/>
      <c r="M131" s="385"/>
      <c r="N131" s="385"/>
      <c r="O131" s="385"/>
      <c r="P131" s="385"/>
      <c r="Q131" s="385"/>
      <c r="R131" s="385"/>
      <c r="S131" s="385"/>
      <c r="T131" s="385"/>
      <c r="U131" s="385"/>
      <c r="V131" s="385"/>
      <c r="W131" s="385"/>
      <c r="X131" s="385"/>
      <c r="Y131" s="385"/>
      <c r="Z131" s="385"/>
      <c r="AA131" s="385"/>
      <c r="AB131" s="385"/>
      <c r="AC131" s="385"/>
      <c r="AD131" s="385"/>
      <c r="AE131" s="385"/>
      <c r="AF131" s="385"/>
      <c r="AG131" s="385"/>
      <c r="AH131" s="385"/>
      <c r="AI131" s="385"/>
      <c r="AJ131" s="385"/>
      <c r="AK131" s="385"/>
      <c r="AL131" s="385"/>
      <c r="AM131" s="385"/>
      <c r="AN131" s="385"/>
      <c r="AO131" s="385"/>
      <c r="AP131" s="385"/>
      <c r="AQ131" s="385"/>
      <c r="AR131" s="385"/>
    </row>
    <row r="132" spans="1:44" ht="20.25" customHeight="1">
      <c r="A132" s="385"/>
      <c r="B132" s="385"/>
      <c r="C132" s="385"/>
      <c r="D132" s="385"/>
      <c r="E132" s="385"/>
      <c r="F132" s="385"/>
      <c r="G132" s="385"/>
      <c r="H132" s="385"/>
      <c r="I132" s="385"/>
      <c r="J132" s="385"/>
      <c r="K132" s="385"/>
      <c r="L132" s="385"/>
      <c r="M132" s="385"/>
      <c r="N132" s="385"/>
      <c r="O132" s="385"/>
      <c r="P132" s="385"/>
      <c r="Q132" s="385"/>
      <c r="R132" s="385"/>
      <c r="S132" s="385"/>
      <c r="T132" s="385"/>
      <c r="U132" s="385"/>
      <c r="V132" s="385"/>
      <c r="W132" s="385"/>
      <c r="X132" s="385"/>
      <c r="Y132" s="385"/>
      <c r="Z132" s="385"/>
      <c r="AA132" s="385"/>
      <c r="AB132" s="385"/>
      <c r="AC132" s="385"/>
      <c r="AD132" s="385"/>
      <c r="AE132" s="385"/>
      <c r="AF132" s="385"/>
      <c r="AG132" s="385"/>
      <c r="AH132" s="385"/>
      <c r="AI132" s="385"/>
      <c r="AJ132" s="385"/>
      <c r="AK132" s="385"/>
      <c r="AL132" s="385"/>
      <c r="AM132" s="385"/>
      <c r="AN132" s="385"/>
      <c r="AO132" s="385"/>
      <c r="AP132" s="385"/>
      <c r="AQ132" s="385"/>
      <c r="AR132" s="385"/>
    </row>
    <row r="133" spans="1:44" ht="20.25" customHeight="1">
      <c r="A133" s="385"/>
      <c r="B133" s="385"/>
      <c r="C133" s="385"/>
      <c r="D133" s="385"/>
      <c r="E133" s="385"/>
      <c r="F133" s="385"/>
      <c r="G133" s="385"/>
      <c r="H133" s="385"/>
      <c r="I133" s="385"/>
      <c r="J133" s="385"/>
      <c r="K133" s="385"/>
      <c r="L133" s="385"/>
      <c r="M133" s="385"/>
      <c r="N133" s="385"/>
      <c r="O133" s="385"/>
      <c r="P133" s="385"/>
      <c r="Q133" s="385"/>
      <c r="R133" s="385"/>
      <c r="S133" s="385"/>
      <c r="T133" s="385"/>
      <c r="U133" s="385"/>
      <c r="V133" s="385"/>
      <c r="W133" s="385"/>
      <c r="X133" s="385"/>
      <c r="Y133" s="385"/>
      <c r="Z133" s="385"/>
      <c r="AA133" s="385"/>
      <c r="AB133" s="385"/>
      <c r="AC133" s="385"/>
      <c r="AD133" s="385"/>
      <c r="AE133" s="385"/>
      <c r="AF133" s="385"/>
      <c r="AG133" s="385"/>
      <c r="AH133" s="385"/>
      <c r="AI133" s="385"/>
      <c r="AJ133" s="385"/>
      <c r="AK133" s="385"/>
      <c r="AL133" s="385"/>
      <c r="AM133" s="385"/>
      <c r="AN133" s="385"/>
      <c r="AO133" s="385"/>
      <c r="AP133" s="385"/>
      <c r="AQ133" s="385"/>
      <c r="AR133" s="385"/>
    </row>
    <row r="134" spans="1:44" ht="20.25" customHeight="1">
      <c r="A134" s="385"/>
      <c r="B134" s="385"/>
      <c r="C134" s="385"/>
      <c r="D134" s="385"/>
      <c r="E134" s="385"/>
      <c r="F134" s="385"/>
      <c r="G134" s="385"/>
      <c r="H134" s="385"/>
      <c r="I134" s="385"/>
      <c r="J134" s="385"/>
      <c r="K134" s="385"/>
      <c r="L134" s="385"/>
      <c r="M134" s="385"/>
      <c r="N134" s="385"/>
      <c r="O134" s="385"/>
      <c r="P134" s="385"/>
      <c r="Q134" s="385"/>
      <c r="R134" s="385"/>
      <c r="S134" s="385"/>
      <c r="T134" s="385"/>
      <c r="U134" s="385"/>
      <c r="V134" s="385"/>
      <c r="W134" s="385"/>
      <c r="X134" s="385"/>
      <c r="Y134" s="385"/>
      <c r="Z134" s="385"/>
      <c r="AA134" s="385"/>
      <c r="AB134" s="385"/>
      <c r="AC134" s="385"/>
      <c r="AD134" s="385"/>
      <c r="AE134" s="385"/>
      <c r="AF134" s="385"/>
      <c r="AG134" s="385"/>
      <c r="AH134" s="385"/>
      <c r="AI134" s="385"/>
      <c r="AJ134" s="385"/>
      <c r="AK134" s="385"/>
      <c r="AL134" s="385"/>
      <c r="AM134" s="385"/>
      <c r="AN134" s="385"/>
      <c r="AO134" s="385"/>
      <c r="AP134" s="385"/>
      <c r="AQ134" s="385"/>
      <c r="AR134" s="385"/>
    </row>
    <row r="135" spans="1:44" ht="20.25" customHeight="1">
      <c r="A135" s="385"/>
      <c r="B135" s="385"/>
      <c r="C135" s="385"/>
      <c r="D135" s="385"/>
      <c r="E135" s="385"/>
      <c r="F135" s="385"/>
      <c r="G135" s="385"/>
      <c r="H135" s="385"/>
      <c r="I135" s="385"/>
      <c r="J135" s="385"/>
      <c r="K135" s="385"/>
      <c r="L135" s="385"/>
      <c r="M135" s="385"/>
      <c r="N135" s="385"/>
      <c r="O135" s="385"/>
      <c r="P135" s="385"/>
      <c r="Q135" s="385"/>
      <c r="R135" s="385"/>
      <c r="S135" s="385"/>
      <c r="T135" s="385"/>
      <c r="U135" s="385"/>
      <c r="V135" s="385"/>
      <c r="W135" s="385"/>
      <c r="X135" s="385"/>
      <c r="Y135" s="385"/>
      <c r="Z135" s="385"/>
      <c r="AA135" s="385"/>
      <c r="AB135" s="385"/>
      <c r="AC135" s="385"/>
      <c r="AD135" s="385"/>
      <c r="AE135" s="385"/>
      <c r="AF135" s="385"/>
      <c r="AG135" s="385"/>
      <c r="AH135" s="385"/>
      <c r="AI135" s="385"/>
      <c r="AJ135" s="385"/>
      <c r="AK135" s="385"/>
      <c r="AL135" s="385"/>
      <c r="AM135" s="385"/>
      <c r="AN135" s="385"/>
      <c r="AO135" s="385"/>
      <c r="AP135" s="385"/>
      <c r="AQ135" s="385"/>
      <c r="AR135" s="385"/>
    </row>
    <row r="136" spans="1:44" ht="20.25" customHeight="1">
      <c r="A136" s="385"/>
      <c r="B136" s="385"/>
      <c r="C136" s="385"/>
      <c r="D136" s="385"/>
      <c r="E136" s="385"/>
      <c r="F136" s="385"/>
      <c r="G136" s="385"/>
      <c r="H136" s="385"/>
      <c r="I136" s="385"/>
      <c r="J136" s="385"/>
      <c r="K136" s="385"/>
      <c r="L136" s="385"/>
      <c r="M136" s="385"/>
      <c r="N136" s="385"/>
      <c r="O136" s="385"/>
      <c r="P136" s="385"/>
      <c r="Q136" s="385"/>
      <c r="R136" s="385"/>
      <c r="S136" s="385"/>
      <c r="T136" s="385"/>
      <c r="U136" s="385"/>
      <c r="V136" s="385"/>
      <c r="W136" s="385"/>
      <c r="X136" s="385"/>
      <c r="Y136" s="385"/>
      <c r="Z136" s="385"/>
      <c r="AA136" s="385"/>
      <c r="AB136" s="385"/>
      <c r="AC136" s="385"/>
      <c r="AD136" s="385"/>
      <c r="AE136" s="385"/>
      <c r="AF136" s="385"/>
      <c r="AG136" s="385"/>
      <c r="AH136" s="385"/>
      <c r="AI136" s="385"/>
      <c r="AJ136" s="385"/>
      <c r="AK136" s="385"/>
      <c r="AL136" s="385"/>
      <c r="AM136" s="385"/>
      <c r="AN136" s="385"/>
      <c r="AO136" s="385"/>
      <c r="AP136" s="385"/>
      <c r="AQ136" s="385"/>
      <c r="AR136" s="385"/>
    </row>
    <row r="137" spans="1:44" ht="20.25" customHeight="1">
      <c r="A137" s="385"/>
      <c r="B137" s="385"/>
      <c r="C137" s="385"/>
      <c r="D137" s="385"/>
      <c r="E137" s="385"/>
      <c r="F137" s="385"/>
      <c r="G137" s="385"/>
      <c r="H137" s="385"/>
      <c r="I137" s="385"/>
      <c r="J137" s="385"/>
      <c r="K137" s="385"/>
      <c r="L137" s="385"/>
      <c r="M137" s="385"/>
      <c r="N137" s="385"/>
      <c r="O137" s="385"/>
      <c r="P137" s="385"/>
      <c r="Q137" s="385"/>
      <c r="R137" s="385"/>
      <c r="S137" s="385"/>
      <c r="T137" s="385"/>
      <c r="U137" s="385"/>
      <c r="V137" s="385"/>
      <c r="W137" s="385"/>
      <c r="X137" s="385"/>
      <c r="Y137" s="385"/>
      <c r="Z137" s="385"/>
      <c r="AA137" s="385"/>
      <c r="AB137" s="385"/>
      <c r="AC137" s="385"/>
      <c r="AD137" s="385"/>
      <c r="AE137" s="385"/>
      <c r="AF137" s="385"/>
      <c r="AG137" s="385"/>
      <c r="AH137" s="385"/>
      <c r="AI137" s="385"/>
      <c r="AJ137" s="385"/>
      <c r="AK137" s="385"/>
      <c r="AL137" s="385"/>
      <c r="AM137" s="385"/>
      <c r="AN137" s="385"/>
      <c r="AO137" s="385"/>
      <c r="AP137" s="385"/>
      <c r="AQ137" s="385"/>
      <c r="AR137" s="385"/>
    </row>
    <row r="138" spans="1:44" ht="20.25" customHeight="1">
      <c r="A138" s="385"/>
      <c r="B138" s="385"/>
      <c r="C138" s="385"/>
      <c r="D138" s="385"/>
      <c r="E138" s="385"/>
      <c r="F138" s="385"/>
      <c r="G138" s="385"/>
      <c r="H138" s="385"/>
      <c r="I138" s="385"/>
      <c r="J138" s="385"/>
      <c r="K138" s="385"/>
      <c r="L138" s="385"/>
      <c r="M138" s="385"/>
      <c r="N138" s="385"/>
      <c r="O138" s="385"/>
      <c r="P138" s="385"/>
      <c r="Q138" s="385"/>
      <c r="R138" s="385"/>
      <c r="S138" s="385"/>
      <c r="T138" s="385"/>
      <c r="U138" s="385"/>
      <c r="V138" s="385"/>
      <c r="W138" s="385"/>
      <c r="X138" s="385"/>
      <c r="Y138" s="385"/>
      <c r="Z138" s="385"/>
      <c r="AA138" s="385"/>
      <c r="AB138" s="385"/>
      <c r="AC138" s="385"/>
      <c r="AD138" s="385"/>
      <c r="AE138" s="385"/>
      <c r="AF138" s="385"/>
      <c r="AG138" s="385"/>
      <c r="AH138" s="385"/>
      <c r="AI138" s="385"/>
      <c r="AJ138" s="385"/>
      <c r="AK138" s="385"/>
      <c r="AL138" s="385"/>
      <c r="AM138" s="385"/>
      <c r="AN138" s="385"/>
      <c r="AO138" s="385"/>
      <c r="AP138" s="385"/>
      <c r="AQ138" s="385"/>
      <c r="AR138" s="385"/>
    </row>
    <row r="139" spans="1:44" ht="20.25" customHeight="1">
      <c r="A139" s="385"/>
      <c r="B139" s="385"/>
      <c r="C139" s="385"/>
      <c r="D139" s="385"/>
      <c r="E139" s="385"/>
      <c r="F139" s="385"/>
      <c r="G139" s="385"/>
      <c r="H139" s="385"/>
      <c r="I139" s="385"/>
      <c r="J139" s="385"/>
      <c r="K139" s="385"/>
      <c r="L139" s="385"/>
      <c r="M139" s="385"/>
      <c r="N139" s="385"/>
      <c r="O139" s="385"/>
      <c r="P139" s="385"/>
      <c r="Q139" s="385"/>
      <c r="R139" s="385"/>
      <c r="S139" s="385"/>
      <c r="T139" s="385"/>
      <c r="U139" s="385"/>
      <c r="V139" s="385"/>
      <c r="W139" s="385"/>
      <c r="X139" s="385"/>
      <c r="Y139" s="385"/>
      <c r="Z139" s="385"/>
      <c r="AA139" s="385"/>
      <c r="AB139" s="385"/>
      <c r="AC139" s="385"/>
      <c r="AD139" s="385"/>
      <c r="AE139" s="385"/>
      <c r="AF139" s="385"/>
      <c r="AG139" s="385"/>
      <c r="AH139" s="385"/>
      <c r="AI139" s="385"/>
      <c r="AJ139" s="385"/>
      <c r="AK139" s="385"/>
      <c r="AL139" s="385"/>
      <c r="AM139" s="385"/>
      <c r="AN139" s="385"/>
      <c r="AO139" s="385"/>
      <c r="AP139" s="385"/>
      <c r="AQ139" s="385"/>
      <c r="AR139" s="385"/>
    </row>
    <row r="140" spans="1:44" ht="20.25" customHeight="1">
      <c r="A140" s="385"/>
      <c r="B140" s="385"/>
      <c r="C140" s="385"/>
      <c r="D140" s="385"/>
      <c r="E140" s="385"/>
      <c r="F140" s="385"/>
      <c r="G140" s="385"/>
      <c r="H140" s="385"/>
      <c r="I140" s="385"/>
      <c r="J140" s="385"/>
      <c r="K140" s="385"/>
      <c r="L140" s="385"/>
      <c r="M140" s="385"/>
      <c r="N140" s="385"/>
      <c r="O140" s="385"/>
      <c r="P140" s="385"/>
      <c r="Q140" s="385"/>
      <c r="R140" s="385"/>
      <c r="S140" s="385"/>
      <c r="T140" s="385"/>
      <c r="U140" s="385"/>
      <c r="V140" s="385"/>
      <c r="W140" s="385"/>
      <c r="X140" s="385"/>
      <c r="Y140" s="385"/>
      <c r="Z140" s="385"/>
      <c r="AA140" s="385"/>
      <c r="AB140" s="385"/>
      <c r="AC140" s="385"/>
      <c r="AD140" s="385"/>
      <c r="AE140" s="385"/>
      <c r="AF140" s="385"/>
      <c r="AG140" s="385"/>
      <c r="AH140" s="385"/>
      <c r="AI140" s="385"/>
      <c r="AJ140" s="385"/>
      <c r="AK140" s="385"/>
      <c r="AL140" s="385"/>
      <c r="AM140" s="385"/>
      <c r="AN140" s="385"/>
      <c r="AO140" s="385"/>
      <c r="AP140" s="385"/>
      <c r="AQ140" s="385"/>
      <c r="AR140" s="385"/>
    </row>
    <row r="141" spans="1:44" ht="20.25" customHeight="1">
      <c r="A141" s="385"/>
      <c r="B141" s="385"/>
      <c r="C141" s="385"/>
      <c r="D141" s="385"/>
      <c r="E141" s="385"/>
      <c r="F141" s="385"/>
      <c r="G141" s="385"/>
      <c r="H141" s="385"/>
      <c r="I141" s="385"/>
      <c r="J141" s="385"/>
      <c r="K141" s="385"/>
      <c r="L141" s="385"/>
      <c r="M141" s="385"/>
      <c r="N141" s="385"/>
      <c r="O141" s="385"/>
      <c r="P141" s="385"/>
      <c r="Q141" s="385"/>
      <c r="R141" s="385"/>
      <c r="S141" s="385"/>
      <c r="T141" s="385"/>
      <c r="U141" s="385"/>
      <c r="V141" s="385"/>
      <c r="W141" s="385"/>
      <c r="X141" s="385"/>
      <c r="Y141" s="385"/>
      <c r="Z141" s="385"/>
      <c r="AA141" s="385"/>
      <c r="AB141" s="385"/>
      <c r="AC141" s="385"/>
      <c r="AD141" s="385"/>
      <c r="AE141" s="385"/>
      <c r="AF141" s="385"/>
      <c r="AG141" s="385"/>
      <c r="AH141" s="385"/>
      <c r="AI141" s="385"/>
      <c r="AJ141" s="385"/>
      <c r="AK141" s="385"/>
      <c r="AL141" s="385"/>
      <c r="AM141" s="385"/>
      <c r="AN141" s="385"/>
      <c r="AO141" s="385"/>
      <c r="AP141" s="385"/>
      <c r="AQ141" s="385"/>
      <c r="AR141" s="385"/>
    </row>
    <row r="142" spans="1:44" ht="20.25" customHeight="1">
      <c r="A142" s="385"/>
      <c r="B142" s="385"/>
      <c r="C142" s="385"/>
      <c r="D142" s="385"/>
      <c r="E142" s="385"/>
      <c r="F142" s="385"/>
      <c r="G142" s="385"/>
      <c r="H142" s="385"/>
      <c r="I142" s="385"/>
      <c r="J142" s="385"/>
      <c r="K142" s="385"/>
      <c r="L142" s="385"/>
      <c r="M142" s="385"/>
      <c r="N142" s="385"/>
      <c r="O142" s="385"/>
      <c r="P142" s="385"/>
      <c r="Q142" s="385"/>
      <c r="R142" s="385"/>
      <c r="S142" s="385"/>
      <c r="T142" s="385"/>
      <c r="U142" s="385"/>
      <c r="V142" s="385"/>
      <c r="W142" s="385"/>
      <c r="X142" s="385"/>
      <c r="Y142" s="385"/>
      <c r="Z142" s="385"/>
      <c r="AA142" s="385"/>
      <c r="AB142" s="385"/>
      <c r="AC142" s="385"/>
      <c r="AD142" s="385"/>
      <c r="AE142" s="385"/>
      <c r="AF142" s="385"/>
      <c r="AG142" s="385"/>
      <c r="AH142" s="385"/>
      <c r="AI142" s="385"/>
      <c r="AJ142" s="385"/>
      <c r="AK142" s="385"/>
      <c r="AL142" s="385"/>
      <c r="AM142" s="385"/>
      <c r="AN142" s="385"/>
      <c r="AO142" s="385"/>
      <c r="AP142" s="385"/>
      <c r="AQ142" s="385"/>
      <c r="AR142" s="385"/>
    </row>
    <row r="143" spans="1:44" ht="20.25" customHeight="1">
      <c r="A143" s="385"/>
      <c r="B143" s="385"/>
      <c r="C143" s="385"/>
      <c r="D143" s="385"/>
      <c r="E143" s="385"/>
      <c r="F143" s="385"/>
      <c r="G143" s="385"/>
      <c r="H143" s="385"/>
      <c r="I143" s="385"/>
      <c r="J143" s="385"/>
      <c r="K143" s="385"/>
      <c r="L143" s="385"/>
      <c r="M143" s="385"/>
      <c r="N143" s="385"/>
      <c r="O143" s="385"/>
      <c r="P143" s="385"/>
      <c r="Q143" s="385"/>
      <c r="R143" s="385"/>
      <c r="S143" s="385"/>
      <c r="T143" s="385"/>
      <c r="U143" s="385"/>
      <c r="V143" s="385"/>
      <c r="W143" s="385"/>
      <c r="X143" s="385"/>
      <c r="Y143" s="385"/>
      <c r="Z143" s="385"/>
      <c r="AA143" s="385"/>
      <c r="AB143" s="385"/>
      <c r="AC143" s="385"/>
      <c r="AD143" s="385"/>
      <c r="AE143" s="385"/>
      <c r="AF143" s="385"/>
      <c r="AG143" s="385"/>
      <c r="AH143" s="385"/>
      <c r="AI143" s="385"/>
      <c r="AJ143" s="385"/>
      <c r="AK143" s="385"/>
      <c r="AL143" s="385"/>
      <c r="AM143" s="385"/>
      <c r="AN143" s="385"/>
      <c r="AO143" s="385"/>
      <c r="AP143" s="385"/>
      <c r="AQ143" s="385"/>
      <c r="AR143" s="385"/>
    </row>
    <row r="144" spans="1:44" ht="20.25" customHeight="1">
      <c r="A144" s="385"/>
      <c r="B144" s="385"/>
      <c r="C144" s="385"/>
      <c r="D144" s="385"/>
      <c r="E144" s="385"/>
      <c r="F144" s="385"/>
      <c r="G144" s="385"/>
      <c r="H144" s="385"/>
      <c r="I144" s="385"/>
      <c r="J144" s="385"/>
      <c r="K144" s="385"/>
      <c r="L144" s="385"/>
      <c r="M144" s="385"/>
      <c r="N144" s="385"/>
      <c r="O144" s="385"/>
      <c r="P144" s="385"/>
      <c r="Q144" s="385"/>
      <c r="R144" s="385"/>
      <c r="S144" s="385"/>
      <c r="T144" s="385"/>
      <c r="U144" s="385"/>
      <c r="V144" s="385"/>
      <c r="W144" s="385"/>
      <c r="X144" s="385"/>
      <c r="Y144" s="385"/>
      <c r="Z144" s="385"/>
      <c r="AA144" s="385"/>
      <c r="AB144" s="385"/>
      <c r="AC144" s="385"/>
      <c r="AD144" s="385"/>
      <c r="AE144" s="385"/>
      <c r="AF144" s="385"/>
      <c r="AG144" s="385"/>
      <c r="AH144" s="385"/>
      <c r="AI144" s="385"/>
      <c r="AJ144" s="385"/>
      <c r="AK144" s="385"/>
      <c r="AL144" s="385"/>
      <c r="AM144" s="385"/>
      <c r="AN144" s="385"/>
      <c r="AO144" s="385"/>
      <c r="AP144" s="385"/>
      <c r="AQ144" s="385"/>
      <c r="AR144" s="385"/>
    </row>
    <row r="145" spans="1:44" ht="20.25" customHeight="1">
      <c r="A145" s="385"/>
      <c r="B145" s="385"/>
      <c r="C145" s="385"/>
      <c r="D145" s="385"/>
      <c r="E145" s="385"/>
      <c r="F145" s="385"/>
      <c r="G145" s="385"/>
      <c r="H145" s="385"/>
      <c r="I145" s="385"/>
      <c r="J145" s="385"/>
      <c r="K145" s="385"/>
      <c r="L145" s="385"/>
      <c r="M145" s="385"/>
      <c r="N145" s="385"/>
      <c r="O145" s="385"/>
      <c r="P145" s="385"/>
      <c r="Q145" s="385"/>
      <c r="R145" s="385"/>
      <c r="S145" s="385"/>
      <c r="T145" s="385"/>
      <c r="U145" s="385"/>
      <c r="V145" s="385"/>
      <c r="W145" s="385"/>
      <c r="X145" s="385"/>
      <c r="Y145" s="385"/>
      <c r="Z145" s="385"/>
      <c r="AA145" s="385"/>
      <c r="AB145" s="385"/>
      <c r="AC145" s="385"/>
      <c r="AD145" s="385"/>
      <c r="AE145" s="385"/>
      <c r="AF145" s="385"/>
      <c r="AG145" s="385"/>
      <c r="AH145" s="385"/>
      <c r="AI145" s="385"/>
      <c r="AJ145" s="385"/>
      <c r="AK145" s="385"/>
      <c r="AL145" s="385"/>
      <c r="AM145" s="385"/>
      <c r="AN145" s="385"/>
      <c r="AO145" s="385"/>
      <c r="AP145" s="385"/>
      <c r="AQ145" s="385"/>
      <c r="AR145" s="385"/>
    </row>
    <row r="146" spans="1:44" ht="20.25" customHeight="1">
      <c r="A146" s="385"/>
      <c r="B146" s="385"/>
      <c r="C146" s="385"/>
      <c r="D146" s="385"/>
      <c r="E146" s="385"/>
      <c r="F146" s="385"/>
      <c r="G146" s="385"/>
      <c r="H146" s="385"/>
      <c r="I146" s="385"/>
      <c r="J146" s="385"/>
      <c r="K146" s="385"/>
      <c r="L146" s="385"/>
      <c r="M146" s="385"/>
      <c r="N146" s="385"/>
      <c r="O146" s="385"/>
      <c r="P146" s="385"/>
      <c r="Q146" s="385"/>
      <c r="R146" s="385"/>
      <c r="S146" s="385"/>
      <c r="T146" s="385"/>
      <c r="U146" s="385"/>
      <c r="V146" s="385"/>
      <c r="W146" s="385"/>
      <c r="X146" s="385"/>
      <c r="Y146" s="385"/>
      <c r="Z146" s="385"/>
      <c r="AA146" s="385"/>
      <c r="AB146" s="385"/>
      <c r="AC146" s="385"/>
      <c r="AD146" s="385"/>
      <c r="AE146" s="385"/>
      <c r="AF146" s="385"/>
      <c r="AG146" s="385"/>
      <c r="AH146" s="385"/>
      <c r="AI146" s="385"/>
      <c r="AJ146" s="385"/>
      <c r="AK146" s="385"/>
      <c r="AL146" s="385"/>
      <c r="AM146" s="385"/>
      <c r="AN146" s="385"/>
      <c r="AO146" s="385"/>
      <c r="AP146" s="385"/>
      <c r="AQ146" s="385"/>
      <c r="AR146" s="385"/>
    </row>
    <row r="147" spans="1:44" ht="20.25" customHeight="1">
      <c r="A147" s="385"/>
      <c r="B147" s="385"/>
      <c r="C147" s="385"/>
      <c r="D147" s="385"/>
      <c r="E147" s="385"/>
      <c r="F147" s="385"/>
      <c r="G147" s="385"/>
      <c r="H147" s="385"/>
      <c r="I147" s="385"/>
      <c r="J147" s="385"/>
      <c r="K147" s="385"/>
      <c r="L147" s="385"/>
      <c r="M147" s="385"/>
      <c r="N147" s="385"/>
      <c r="O147" s="385"/>
      <c r="P147" s="385"/>
      <c r="Q147" s="385"/>
      <c r="R147" s="385"/>
      <c r="S147" s="385"/>
      <c r="T147" s="385"/>
      <c r="U147" s="385"/>
      <c r="V147" s="385"/>
      <c r="W147" s="385"/>
      <c r="X147" s="385"/>
      <c r="Y147" s="385"/>
      <c r="Z147" s="385"/>
      <c r="AA147" s="385"/>
      <c r="AB147" s="385"/>
      <c r="AC147" s="385"/>
      <c r="AD147" s="385"/>
      <c r="AE147" s="385"/>
      <c r="AF147" s="385"/>
      <c r="AG147" s="385"/>
      <c r="AH147" s="385"/>
      <c r="AI147" s="385"/>
      <c r="AJ147" s="385"/>
      <c r="AK147" s="385"/>
      <c r="AL147" s="385"/>
      <c r="AM147" s="385"/>
      <c r="AN147" s="385"/>
      <c r="AO147" s="385"/>
      <c r="AP147" s="385"/>
      <c r="AQ147" s="385"/>
      <c r="AR147" s="385"/>
    </row>
    <row r="148" spans="1:44" ht="20.25" customHeight="1">
      <c r="A148" s="385"/>
      <c r="B148" s="385"/>
      <c r="C148" s="385"/>
      <c r="D148" s="385"/>
      <c r="E148" s="385"/>
      <c r="F148" s="385"/>
      <c r="G148" s="385"/>
      <c r="H148" s="385"/>
      <c r="I148" s="385"/>
      <c r="J148" s="385"/>
      <c r="K148" s="385"/>
      <c r="L148" s="385"/>
      <c r="M148" s="385"/>
      <c r="N148" s="385"/>
      <c r="O148" s="385"/>
      <c r="P148" s="385"/>
      <c r="Q148" s="385"/>
      <c r="R148" s="385"/>
      <c r="S148" s="385"/>
      <c r="T148" s="385"/>
      <c r="U148" s="385"/>
      <c r="V148" s="385"/>
      <c r="W148" s="385"/>
      <c r="X148" s="385"/>
      <c r="Y148" s="385"/>
      <c r="Z148" s="385"/>
      <c r="AA148" s="385"/>
      <c r="AB148" s="385"/>
      <c r="AC148" s="385"/>
      <c r="AD148" s="385"/>
      <c r="AE148" s="385"/>
      <c r="AF148" s="385"/>
      <c r="AG148" s="385"/>
      <c r="AH148" s="385"/>
      <c r="AI148" s="385"/>
      <c r="AJ148" s="385"/>
      <c r="AK148" s="385"/>
      <c r="AL148" s="385"/>
      <c r="AM148" s="385"/>
      <c r="AN148" s="385"/>
      <c r="AO148" s="385"/>
      <c r="AP148" s="385"/>
      <c r="AQ148" s="385"/>
      <c r="AR148" s="385"/>
    </row>
    <row r="149" spans="1:44" ht="20.25" customHeight="1">
      <c r="A149" s="385"/>
      <c r="B149" s="385"/>
      <c r="C149" s="385"/>
      <c r="D149" s="385"/>
      <c r="E149" s="385"/>
      <c r="F149" s="385"/>
      <c r="G149" s="385"/>
      <c r="H149" s="385"/>
      <c r="I149" s="385"/>
      <c r="J149" s="385"/>
      <c r="K149" s="385"/>
      <c r="L149" s="385"/>
      <c r="M149" s="385"/>
      <c r="N149" s="385"/>
      <c r="O149" s="385"/>
      <c r="P149" s="385"/>
      <c r="Q149" s="385"/>
      <c r="R149" s="385"/>
      <c r="S149" s="385"/>
      <c r="T149" s="385"/>
      <c r="U149" s="385"/>
      <c r="V149" s="385"/>
      <c r="W149" s="385"/>
      <c r="X149" s="385"/>
      <c r="Y149" s="385"/>
      <c r="Z149" s="385"/>
      <c r="AA149" s="385"/>
      <c r="AB149" s="385"/>
      <c r="AC149" s="385"/>
      <c r="AD149" s="385"/>
      <c r="AE149" s="385"/>
      <c r="AF149" s="385"/>
      <c r="AG149" s="385"/>
      <c r="AH149" s="385"/>
      <c r="AI149" s="385"/>
      <c r="AJ149" s="385"/>
      <c r="AK149" s="385"/>
      <c r="AL149" s="385"/>
      <c r="AM149" s="385"/>
      <c r="AN149" s="385"/>
      <c r="AO149" s="385"/>
      <c r="AP149" s="385"/>
      <c r="AQ149" s="385"/>
      <c r="AR149" s="385"/>
    </row>
    <row r="150" spans="1:44" ht="20.25" customHeight="1">
      <c r="A150" s="385"/>
      <c r="B150" s="385"/>
      <c r="C150" s="385"/>
      <c r="D150" s="385"/>
      <c r="E150" s="385"/>
      <c r="F150" s="385"/>
      <c r="G150" s="385"/>
      <c r="H150" s="385"/>
      <c r="I150" s="385"/>
      <c r="J150" s="385"/>
      <c r="K150" s="385"/>
      <c r="L150" s="385"/>
      <c r="M150" s="385"/>
      <c r="N150" s="385"/>
      <c r="O150" s="385"/>
      <c r="P150" s="385"/>
      <c r="Q150" s="385"/>
      <c r="R150" s="385"/>
      <c r="S150" s="385"/>
      <c r="T150" s="385"/>
      <c r="U150" s="385"/>
      <c r="V150" s="385"/>
      <c r="W150" s="385"/>
      <c r="X150" s="385"/>
      <c r="Y150" s="385"/>
      <c r="Z150" s="385"/>
      <c r="AA150" s="385"/>
      <c r="AB150" s="385"/>
      <c r="AC150" s="385"/>
      <c r="AD150" s="385"/>
      <c r="AE150" s="385"/>
      <c r="AF150" s="385"/>
      <c r="AG150" s="385"/>
      <c r="AH150" s="385"/>
      <c r="AI150" s="385"/>
      <c r="AJ150" s="385"/>
      <c r="AK150" s="385"/>
      <c r="AL150" s="385"/>
      <c r="AM150" s="385"/>
      <c r="AN150" s="385"/>
      <c r="AO150" s="385"/>
      <c r="AP150" s="385"/>
      <c r="AQ150" s="385"/>
      <c r="AR150" s="385"/>
    </row>
    <row r="151" spans="1:44" ht="20.25" customHeight="1">
      <c r="A151" s="385"/>
      <c r="B151" s="385"/>
      <c r="C151" s="385"/>
      <c r="D151" s="385"/>
      <c r="E151" s="385"/>
      <c r="F151" s="385"/>
      <c r="G151" s="385"/>
      <c r="H151" s="385"/>
      <c r="I151" s="385"/>
      <c r="J151" s="385"/>
      <c r="K151" s="385"/>
      <c r="L151" s="385"/>
      <c r="M151" s="385"/>
      <c r="N151" s="385"/>
      <c r="O151" s="385"/>
      <c r="P151" s="385"/>
      <c r="Q151" s="385"/>
      <c r="R151" s="385"/>
      <c r="S151" s="385"/>
      <c r="T151" s="385"/>
      <c r="U151" s="385"/>
      <c r="V151" s="385"/>
      <c r="W151" s="385"/>
      <c r="X151" s="385"/>
      <c r="Y151" s="385"/>
      <c r="Z151" s="385"/>
      <c r="AA151" s="385"/>
      <c r="AB151" s="385"/>
      <c r="AC151" s="385"/>
      <c r="AD151" s="385"/>
      <c r="AE151" s="385"/>
      <c r="AF151" s="385"/>
      <c r="AG151" s="385"/>
      <c r="AH151" s="385"/>
      <c r="AI151" s="385"/>
      <c r="AJ151" s="385"/>
      <c r="AK151" s="385"/>
      <c r="AL151" s="385"/>
      <c r="AM151" s="385"/>
      <c r="AN151" s="385"/>
      <c r="AO151" s="385"/>
      <c r="AP151" s="385"/>
      <c r="AQ151" s="385"/>
      <c r="AR151" s="385"/>
    </row>
    <row r="152" spans="1:44" ht="20.25" customHeight="1">
      <c r="A152" s="385"/>
      <c r="B152" s="385"/>
      <c r="C152" s="385"/>
      <c r="D152" s="385"/>
      <c r="E152" s="385"/>
      <c r="F152" s="385"/>
      <c r="G152" s="385"/>
      <c r="H152" s="385"/>
      <c r="I152" s="385"/>
      <c r="J152" s="385"/>
      <c r="K152" s="385"/>
      <c r="L152" s="385"/>
      <c r="M152" s="385"/>
      <c r="N152" s="385"/>
      <c r="O152" s="385"/>
      <c r="P152" s="385"/>
      <c r="Q152" s="385"/>
      <c r="R152" s="385"/>
      <c r="S152" s="385"/>
      <c r="T152" s="385"/>
      <c r="U152" s="385"/>
      <c r="V152" s="385"/>
      <c r="W152" s="385"/>
      <c r="X152" s="385"/>
      <c r="Y152" s="385"/>
      <c r="Z152" s="385"/>
      <c r="AA152" s="385"/>
      <c r="AB152" s="385"/>
      <c r="AC152" s="385"/>
      <c r="AD152" s="385"/>
      <c r="AE152" s="385"/>
      <c r="AF152" s="385"/>
      <c r="AG152" s="385"/>
      <c r="AH152" s="385"/>
      <c r="AI152" s="385"/>
      <c r="AJ152" s="385"/>
      <c r="AK152" s="385"/>
      <c r="AL152" s="385"/>
      <c r="AM152" s="385"/>
      <c r="AN152" s="385"/>
      <c r="AO152" s="385"/>
      <c r="AP152" s="385"/>
      <c r="AQ152" s="385"/>
      <c r="AR152" s="385"/>
    </row>
    <row r="153" spans="1:44" ht="20.25" customHeight="1">
      <c r="A153" s="385"/>
      <c r="B153" s="385"/>
      <c r="C153" s="385"/>
      <c r="D153" s="385"/>
      <c r="E153" s="385"/>
      <c r="F153" s="385"/>
      <c r="G153" s="385"/>
      <c r="H153" s="385"/>
      <c r="I153" s="385"/>
      <c r="J153" s="385"/>
      <c r="K153" s="385"/>
      <c r="L153" s="385"/>
      <c r="M153" s="385"/>
      <c r="N153" s="385"/>
      <c r="O153" s="385"/>
      <c r="P153" s="385"/>
      <c r="Q153" s="385"/>
      <c r="R153" s="385"/>
      <c r="S153" s="385"/>
      <c r="T153" s="385"/>
      <c r="U153" s="385"/>
      <c r="V153" s="385"/>
      <c r="W153" s="385"/>
      <c r="X153" s="385"/>
      <c r="Y153" s="385"/>
      <c r="Z153" s="385"/>
      <c r="AA153" s="385"/>
      <c r="AB153" s="385"/>
      <c r="AC153" s="385"/>
      <c r="AD153" s="385"/>
      <c r="AE153" s="385"/>
      <c r="AF153" s="385"/>
      <c r="AG153" s="385"/>
      <c r="AH153" s="385"/>
      <c r="AI153" s="385"/>
      <c r="AJ153" s="385"/>
      <c r="AK153" s="385"/>
      <c r="AL153" s="385"/>
      <c r="AM153" s="385"/>
      <c r="AN153" s="385"/>
      <c r="AO153" s="385"/>
      <c r="AP153" s="385"/>
      <c r="AQ153" s="385"/>
      <c r="AR153" s="385"/>
    </row>
    <row r="154" spans="1:44" ht="20.25" customHeight="1">
      <c r="A154" s="385"/>
      <c r="B154" s="385"/>
      <c r="C154" s="385"/>
      <c r="D154" s="385"/>
      <c r="E154" s="385"/>
      <c r="F154" s="385"/>
      <c r="G154" s="385"/>
      <c r="H154" s="385"/>
      <c r="I154" s="385"/>
      <c r="J154" s="385"/>
      <c r="K154" s="385"/>
      <c r="L154" s="385"/>
      <c r="M154" s="385"/>
      <c r="N154" s="385"/>
      <c r="O154" s="385"/>
      <c r="P154" s="385"/>
      <c r="Q154" s="385"/>
      <c r="R154" s="385"/>
      <c r="S154" s="385"/>
      <c r="T154" s="385"/>
      <c r="U154" s="385"/>
      <c r="V154" s="385"/>
      <c r="W154" s="385"/>
      <c r="X154" s="385"/>
      <c r="Y154" s="385"/>
      <c r="Z154" s="385"/>
      <c r="AA154" s="385"/>
      <c r="AB154" s="385"/>
      <c r="AC154" s="385"/>
      <c r="AD154" s="385"/>
      <c r="AE154" s="385"/>
      <c r="AF154" s="385"/>
      <c r="AG154" s="385"/>
      <c r="AH154" s="385"/>
      <c r="AI154" s="385"/>
      <c r="AJ154" s="385"/>
      <c r="AK154" s="385"/>
      <c r="AL154" s="385"/>
      <c r="AM154" s="385"/>
      <c r="AN154" s="385"/>
      <c r="AO154" s="385"/>
      <c r="AP154" s="385"/>
      <c r="AQ154" s="385"/>
      <c r="AR154" s="385"/>
    </row>
    <row r="155" spans="1:44" ht="20.25" customHeight="1">
      <c r="A155" s="385"/>
      <c r="B155" s="385"/>
      <c r="C155" s="385"/>
      <c r="D155" s="385"/>
      <c r="E155" s="385"/>
      <c r="F155" s="385"/>
      <c r="G155" s="385"/>
      <c r="H155" s="385"/>
      <c r="I155" s="385"/>
      <c r="J155" s="385"/>
      <c r="K155" s="385"/>
      <c r="L155" s="385"/>
      <c r="M155" s="385"/>
      <c r="N155" s="385"/>
      <c r="O155" s="385"/>
      <c r="P155" s="385"/>
      <c r="Q155" s="385"/>
      <c r="R155" s="385"/>
      <c r="S155" s="385"/>
      <c r="T155" s="385"/>
      <c r="U155" s="385"/>
      <c r="V155" s="385"/>
      <c r="W155" s="385"/>
      <c r="X155" s="385"/>
      <c r="Y155" s="385"/>
      <c r="Z155" s="385"/>
      <c r="AA155" s="385"/>
      <c r="AB155" s="385"/>
      <c r="AC155" s="385"/>
      <c r="AD155" s="385"/>
      <c r="AE155" s="385"/>
      <c r="AF155" s="385"/>
      <c r="AG155" s="385"/>
      <c r="AH155" s="385"/>
      <c r="AI155" s="385"/>
      <c r="AJ155" s="385"/>
      <c r="AK155" s="385"/>
      <c r="AL155" s="385"/>
      <c r="AM155" s="385"/>
      <c r="AN155" s="385"/>
      <c r="AO155" s="385"/>
      <c r="AP155" s="385"/>
      <c r="AQ155" s="385"/>
      <c r="AR155" s="385"/>
    </row>
    <row r="156" spans="1:44" ht="20.25" customHeight="1">
      <c r="A156" s="385"/>
      <c r="B156" s="385"/>
      <c r="C156" s="385"/>
      <c r="D156" s="385"/>
      <c r="E156" s="385"/>
      <c r="F156" s="385"/>
      <c r="G156" s="385"/>
      <c r="H156" s="385"/>
      <c r="I156" s="385"/>
      <c r="J156" s="385"/>
      <c r="K156" s="385"/>
      <c r="L156" s="385"/>
      <c r="M156" s="385"/>
      <c r="N156" s="385"/>
      <c r="O156" s="385"/>
      <c r="P156" s="385"/>
      <c r="Q156" s="385"/>
      <c r="R156" s="385"/>
      <c r="S156" s="385"/>
      <c r="T156" s="385"/>
      <c r="U156" s="385"/>
      <c r="V156" s="385"/>
      <c r="W156" s="385"/>
      <c r="X156" s="385"/>
      <c r="Y156" s="385"/>
      <c r="Z156" s="385"/>
      <c r="AA156" s="385"/>
      <c r="AB156" s="385"/>
      <c r="AC156" s="385"/>
      <c r="AD156" s="385"/>
      <c r="AE156" s="385"/>
      <c r="AF156" s="385"/>
      <c r="AG156" s="385"/>
      <c r="AH156" s="385"/>
      <c r="AI156" s="385"/>
      <c r="AJ156" s="385"/>
      <c r="AK156" s="385"/>
      <c r="AL156" s="385"/>
      <c r="AM156" s="385"/>
      <c r="AN156" s="385"/>
      <c r="AO156" s="385"/>
      <c r="AP156" s="385"/>
      <c r="AQ156" s="385"/>
      <c r="AR156" s="385"/>
    </row>
    <row r="157" spans="1:44" ht="20.25" customHeight="1">
      <c r="A157" s="385"/>
      <c r="B157" s="385"/>
      <c r="C157" s="385"/>
      <c r="D157" s="385"/>
      <c r="E157" s="385"/>
      <c r="F157" s="385"/>
      <c r="G157" s="385"/>
      <c r="H157" s="385"/>
      <c r="I157" s="385"/>
      <c r="J157" s="385"/>
      <c r="K157" s="385"/>
      <c r="L157" s="385"/>
      <c r="M157" s="385"/>
      <c r="N157" s="385"/>
      <c r="O157" s="385"/>
      <c r="P157" s="385"/>
      <c r="Q157" s="385"/>
      <c r="R157" s="385"/>
      <c r="S157" s="385"/>
      <c r="T157" s="385"/>
      <c r="U157" s="385"/>
      <c r="V157" s="385"/>
      <c r="W157" s="385"/>
      <c r="X157" s="385"/>
      <c r="Y157" s="385"/>
      <c r="Z157" s="385"/>
      <c r="AA157" s="385"/>
      <c r="AB157" s="385"/>
      <c r="AC157" s="385"/>
      <c r="AD157" s="385"/>
      <c r="AE157" s="385"/>
      <c r="AF157" s="385"/>
      <c r="AG157" s="385"/>
      <c r="AH157" s="385"/>
      <c r="AI157" s="385"/>
      <c r="AJ157" s="385"/>
      <c r="AK157" s="385"/>
      <c r="AL157" s="385"/>
      <c r="AM157" s="385"/>
      <c r="AN157" s="385"/>
      <c r="AO157" s="385"/>
      <c r="AP157" s="385"/>
      <c r="AQ157" s="385"/>
      <c r="AR157" s="385"/>
    </row>
    <row r="158" spans="1:44" ht="20.25" customHeight="1">
      <c r="A158" s="385"/>
      <c r="B158" s="385"/>
      <c r="C158" s="385"/>
      <c r="D158" s="385"/>
      <c r="E158" s="385"/>
      <c r="F158" s="385"/>
      <c r="G158" s="385"/>
      <c r="H158" s="385"/>
      <c r="I158" s="385"/>
      <c r="J158" s="385"/>
      <c r="K158" s="385"/>
      <c r="L158" s="385"/>
      <c r="M158" s="385"/>
      <c r="N158" s="385"/>
      <c r="O158" s="385"/>
      <c r="P158" s="385"/>
      <c r="Q158" s="385"/>
      <c r="R158" s="385"/>
      <c r="S158" s="385"/>
      <c r="T158" s="385"/>
      <c r="U158" s="385"/>
      <c r="V158" s="385"/>
      <c r="W158" s="385"/>
      <c r="X158" s="385"/>
      <c r="Y158" s="385"/>
      <c r="Z158" s="385"/>
      <c r="AA158" s="385"/>
      <c r="AB158" s="385"/>
      <c r="AC158" s="385"/>
      <c r="AD158" s="385"/>
      <c r="AE158" s="385"/>
      <c r="AF158" s="385"/>
      <c r="AG158" s="385"/>
      <c r="AH158" s="385"/>
      <c r="AI158" s="385"/>
      <c r="AJ158" s="385"/>
      <c r="AK158" s="385"/>
      <c r="AL158" s="385"/>
      <c r="AM158" s="385"/>
      <c r="AN158" s="385"/>
      <c r="AO158" s="385"/>
      <c r="AP158" s="385"/>
      <c r="AQ158" s="385"/>
      <c r="AR158" s="385"/>
    </row>
    <row r="159" spans="1:44" ht="20.25" customHeight="1">
      <c r="A159" s="385"/>
      <c r="B159" s="385"/>
      <c r="C159" s="385"/>
      <c r="D159" s="385"/>
      <c r="E159" s="385"/>
      <c r="F159" s="385"/>
      <c r="G159" s="385"/>
      <c r="H159" s="385"/>
      <c r="I159" s="385"/>
      <c r="J159" s="385"/>
      <c r="K159" s="385"/>
      <c r="L159" s="385"/>
      <c r="M159" s="385"/>
      <c r="N159" s="385"/>
      <c r="O159" s="385"/>
      <c r="P159" s="385"/>
      <c r="Q159" s="385"/>
      <c r="R159" s="385"/>
      <c r="S159" s="385"/>
      <c r="T159" s="385"/>
      <c r="U159" s="385"/>
      <c r="V159" s="385"/>
      <c r="W159" s="385"/>
      <c r="X159" s="385"/>
      <c r="Y159" s="385"/>
      <c r="Z159" s="385"/>
      <c r="AA159" s="385"/>
      <c r="AB159" s="385"/>
      <c r="AC159" s="385"/>
      <c r="AD159" s="385"/>
      <c r="AE159" s="385"/>
      <c r="AF159" s="385"/>
      <c r="AG159" s="385"/>
      <c r="AH159" s="385"/>
      <c r="AI159" s="385"/>
      <c r="AJ159" s="385"/>
      <c r="AK159" s="385"/>
      <c r="AL159" s="385"/>
      <c r="AM159" s="385"/>
      <c r="AN159" s="385"/>
      <c r="AO159" s="385"/>
      <c r="AP159" s="385"/>
      <c r="AQ159" s="385"/>
      <c r="AR159" s="385"/>
    </row>
    <row r="160" spans="1:44" ht="20.25" customHeight="1">
      <c r="A160" s="385"/>
      <c r="B160" s="385"/>
      <c r="C160" s="385"/>
      <c r="D160" s="385"/>
      <c r="E160" s="385"/>
      <c r="F160" s="385"/>
      <c r="G160" s="385"/>
      <c r="H160" s="385"/>
      <c r="I160" s="385"/>
      <c r="J160" s="385"/>
      <c r="K160" s="385"/>
      <c r="L160" s="385"/>
      <c r="M160" s="385"/>
      <c r="N160" s="385"/>
      <c r="O160" s="385"/>
      <c r="P160" s="385"/>
      <c r="Q160" s="385"/>
      <c r="R160" s="385"/>
      <c r="S160" s="385"/>
      <c r="T160" s="385"/>
      <c r="U160" s="385"/>
      <c r="V160" s="385"/>
      <c r="W160" s="385"/>
      <c r="X160" s="385"/>
      <c r="Y160" s="385"/>
      <c r="Z160" s="385"/>
      <c r="AA160" s="385"/>
      <c r="AB160" s="385"/>
      <c r="AC160" s="385"/>
      <c r="AD160" s="385"/>
      <c r="AE160" s="385"/>
      <c r="AF160" s="385"/>
      <c r="AG160" s="385"/>
      <c r="AH160" s="385"/>
      <c r="AI160" s="385"/>
      <c r="AJ160" s="385"/>
      <c r="AK160" s="385"/>
      <c r="AL160" s="385"/>
      <c r="AM160" s="385"/>
      <c r="AN160" s="385"/>
      <c r="AO160" s="385"/>
      <c r="AP160" s="385"/>
      <c r="AQ160" s="385"/>
      <c r="AR160" s="385"/>
    </row>
    <row r="161" spans="1:44" ht="20.25" customHeight="1">
      <c r="A161" s="385"/>
      <c r="B161" s="385"/>
      <c r="C161" s="385"/>
      <c r="D161" s="385"/>
      <c r="E161" s="385"/>
      <c r="F161" s="385"/>
      <c r="G161" s="385"/>
      <c r="H161" s="385"/>
      <c r="I161" s="385"/>
      <c r="J161" s="385"/>
      <c r="K161" s="385"/>
      <c r="L161" s="385"/>
      <c r="M161" s="385"/>
      <c r="N161" s="385"/>
      <c r="O161" s="385"/>
      <c r="P161" s="385"/>
      <c r="Q161" s="385"/>
      <c r="R161" s="385"/>
      <c r="S161" s="385"/>
      <c r="T161" s="385"/>
      <c r="U161" s="385"/>
      <c r="V161" s="385"/>
      <c r="W161" s="385"/>
      <c r="X161" s="385"/>
      <c r="Y161" s="385"/>
      <c r="Z161" s="385"/>
      <c r="AA161" s="385"/>
      <c r="AB161" s="385"/>
      <c r="AC161" s="385"/>
      <c r="AD161" s="385"/>
      <c r="AE161" s="385"/>
      <c r="AF161" s="385"/>
      <c r="AG161" s="385"/>
      <c r="AH161" s="385"/>
      <c r="AI161" s="385"/>
      <c r="AJ161" s="385"/>
      <c r="AK161" s="385"/>
      <c r="AL161" s="385"/>
      <c r="AM161" s="385"/>
      <c r="AN161" s="385"/>
      <c r="AO161" s="385"/>
      <c r="AP161" s="385"/>
      <c r="AQ161" s="385"/>
      <c r="AR161" s="385"/>
    </row>
    <row r="162" spans="1:44" ht="20.25" customHeight="1">
      <c r="A162" s="385"/>
      <c r="B162" s="385"/>
      <c r="C162" s="385"/>
      <c r="D162" s="385"/>
      <c r="E162" s="385"/>
      <c r="F162" s="385"/>
      <c r="G162" s="385"/>
      <c r="H162" s="385"/>
      <c r="I162" s="385"/>
      <c r="J162" s="385"/>
      <c r="K162" s="385"/>
      <c r="L162" s="385"/>
      <c r="M162" s="385"/>
      <c r="N162" s="385"/>
      <c r="O162" s="385"/>
      <c r="P162" s="385"/>
      <c r="Q162" s="385"/>
      <c r="R162" s="385"/>
      <c r="S162" s="385"/>
      <c r="T162" s="385"/>
      <c r="U162" s="385"/>
      <c r="V162" s="385"/>
      <c r="W162" s="385"/>
      <c r="X162" s="385"/>
      <c r="Y162" s="385"/>
      <c r="Z162" s="385"/>
      <c r="AA162" s="385"/>
      <c r="AB162" s="385"/>
      <c r="AC162" s="385"/>
      <c r="AD162" s="385"/>
      <c r="AE162" s="385"/>
      <c r="AF162" s="385"/>
      <c r="AG162" s="385"/>
      <c r="AH162" s="385"/>
      <c r="AI162" s="385"/>
      <c r="AJ162" s="385"/>
      <c r="AK162" s="385"/>
      <c r="AL162" s="385"/>
      <c r="AM162" s="385"/>
      <c r="AN162" s="385"/>
      <c r="AO162" s="385"/>
      <c r="AP162" s="385"/>
      <c r="AQ162" s="385"/>
      <c r="AR162" s="385"/>
    </row>
    <row r="163" spans="1:44" ht="20.25" customHeight="1">
      <c r="A163" s="385"/>
      <c r="B163" s="385"/>
      <c r="C163" s="385"/>
      <c r="D163" s="385"/>
      <c r="E163" s="385"/>
      <c r="F163" s="385"/>
      <c r="G163" s="385"/>
      <c r="H163" s="385"/>
      <c r="I163" s="385"/>
      <c r="J163" s="385"/>
      <c r="K163" s="385"/>
      <c r="L163" s="385"/>
      <c r="M163" s="385"/>
      <c r="N163" s="385"/>
      <c r="O163" s="385"/>
      <c r="P163" s="385"/>
      <c r="Q163" s="385"/>
      <c r="R163" s="385"/>
      <c r="S163" s="385"/>
      <c r="T163" s="385"/>
      <c r="U163" s="385"/>
      <c r="V163" s="385"/>
      <c r="W163" s="385"/>
      <c r="X163" s="385"/>
      <c r="Y163" s="385"/>
      <c r="Z163" s="385"/>
      <c r="AA163" s="385"/>
      <c r="AB163" s="385"/>
      <c r="AC163" s="385"/>
      <c r="AD163" s="385"/>
      <c r="AE163" s="385"/>
      <c r="AF163" s="385"/>
      <c r="AG163" s="385"/>
      <c r="AH163" s="385"/>
      <c r="AI163" s="385"/>
      <c r="AJ163" s="385"/>
      <c r="AK163" s="385"/>
      <c r="AL163" s="385"/>
      <c r="AM163" s="385"/>
      <c r="AN163" s="385"/>
      <c r="AO163" s="385"/>
      <c r="AP163" s="385"/>
      <c r="AQ163" s="385"/>
      <c r="AR163" s="385"/>
    </row>
    <row r="164" spans="1:44" ht="20.25" customHeight="1">
      <c r="A164" s="385"/>
      <c r="B164" s="385"/>
      <c r="C164" s="385"/>
      <c r="D164" s="385"/>
      <c r="E164" s="385"/>
      <c r="F164" s="385"/>
      <c r="G164" s="385"/>
      <c r="H164" s="385"/>
      <c r="I164" s="385"/>
      <c r="J164" s="385"/>
      <c r="K164" s="385"/>
      <c r="L164" s="385"/>
      <c r="M164" s="385"/>
      <c r="N164" s="385"/>
      <c r="O164" s="385"/>
      <c r="P164" s="385"/>
      <c r="Q164" s="385"/>
      <c r="R164" s="385"/>
      <c r="S164" s="385"/>
      <c r="T164" s="385"/>
      <c r="U164" s="385"/>
      <c r="V164" s="385"/>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row>
    <row r="165" spans="1:44" ht="20.25" customHeight="1">
      <c r="A165" s="385"/>
      <c r="B165" s="385"/>
      <c r="C165" s="385"/>
      <c r="D165" s="385"/>
      <c r="E165" s="385"/>
      <c r="F165" s="385"/>
      <c r="G165" s="385"/>
      <c r="H165" s="385"/>
      <c r="I165" s="385"/>
      <c r="J165" s="385"/>
      <c r="K165" s="385"/>
      <c r="L165" s="385"/>
      <c r="M165" s="385"/>
      <c r="N165" s="385"/>
      <c r="O165" s="385"/>
      <c r="P165" s="385"/>
      <c r="Q165" s="385"/>
      <c r="R165" s="385"/>
      <c r="S165" s="385"/>
      <c r="T165" s="385"/>
      <c r="U165" s="385"/>
      <c r="V165" s="385"/>
      <c r="W165" s="385"/>
      <c r="X165" s="385"/>
      <c r="Y165" s="385"/>
      <c r="Z165" s="385"/>
      <c r="AA165" s="385"/>
      <c r="AB165" s="385"/>
      <c r="AC165" s="385"/>
      <c r="AD165" s="385"/>
      <c r="AE165" s="385"/>
      <c r="AF165" s="385"/>
      <c r="AG165" s="385"/>
      <c r="AH165" s="385"/>
      <c r="AI165" s="385"/>
      <c r="AJ165" s="385"/>
      <c r="AK165" s="385"/>
      <c r="AL165" s="385"/>
      <c r="AM165" s="385"/>
      <c r="AN165" s="385"/>
      <c r="AO165" s="385"/>
      <c r="AP165" s="385"/>
      <c r="AQ165" s="385"/>
      <c r="AR165" s="385"/>
    </row>
    <row r="166" spans="1:44" ht="20.25" customHeight="1">
      <c r="A166" s="385"/>
      <c r="B166" s="385"/>
      <c r="C166" s="385"/>
      <c r="D166" s="385"/>
      <c r="E166" s="385"/>
      <c r="F166" s="385"/>
      <c r="G166" s="385"/>
      <c r="H166" s="385"/>
      <c r="I166" s="385"/>
      <c r="J166" s="385"/>
      <c r="K166" s="385"/>
      <c r="L166" s="385"/>
      <c r="M166" s="385"/>
      <c r="N166" s="385"/>
      <c r="O166" s="385"/>
      <c r="P166" s="385"/>
      <c r="Q166" s="385"/>
      <c r="R166" s="385"/>
      <c r="S166" s="385"/>
      <c r="T166" s="385"/>
      <c r="U166" s="385"/>
      <c r="V166" s="385"/>
      <c r="W166" s="385"/>
      <c r="X166" s="385"/>
      <c r="Y166" s="385"/>
      <c r="Z166" s="385"/>
      <c r="AA166" s="385"/>
      <c r="AB166" s="385"/>
      <c r="AC166" s="385"/>
      <c r="AD166" s="385"/>
      <c r="AE166" s="385"/>
      <c r="AF166" s="385"/>
      <c r="AG166" s="385"/>
      <c r="AH166" s="385"/>
      <c r="AI166" s="385"/>
      <c r="AJ166" s="385"/>
      <c r="AK166" s="385"/>
      <c r="AL166" s="385"/>
      <c r="AM166" s="385"/>
      <c r="AN166" s="385"/>
      <c r="AO166" s="385"/>
      <c r="AP166" s="385"/>
      <c r="AQ166" s="385"/>
      <c r="AR166" s="385"/>
    </row>
    <row r="167" spans="1:44" ht="20.25" customHeight="1">
      <c r="A167" s="385"/>
      <c r="B167" s="385"/>
      <c r="C167" s="385"/>
      <c r="D167" s="385"/>
      <c r="E167" s="385"/>
      <c r="F167" s="385"/>
      <c r="G167" s="385"/>
      <c r="H167" s="385"/>
      <c r="I167" s="385"/>
      <c r="J167" s="385"/>
      <c r="K167" s="385"/>
      <c r="L167" s="385"/>
      <c r="M167" s="385"/>
      <c r="N167" s="385"/>
      <c r="O167" s="385"/>
      <c r="P167" s="385"/>
      <c r="Q167" s="385"/>
      <c r="R167" s="385"/>
      <c r="S167" s="385"/>
      <c r="T167" s="385"/>
      <c r="U167" s="385"/>
      <c r="V167" s="385"/>
      <c r="W167" s="385"/>
      <c r="X167" s="385"/>
      <c r="Y167" s="385"/>
      <c r="Z167" s="385"/>
      <c r="AA167" s="385"/>
      <c r="AB167" s="385"/>
      <c r="AC167" s="385"/>
      <c r="AD167" s="385"/>
      <c r="AE167" s="385"/>
      <c r="AF167" s="385"/>
      <c r="AG167" s="385"/>
      <c r="AH167" s="385"/>
      <c r="AI167" s="385"/>
      <c r="AJ167" s="385"/>
      <c r="AK167" s="385"/>
      <c r="AL167" s="385"/>
      <c r="AM167" s="385"/>
      <c r="AN167" s="385"/>
      <c r="AO167" s="385"/>
      <c r="AP167" s="385"/>
      <c r="AQ167" s="385"/>
      <c r="AR167" s="385"/>
    </row>
    <row r="168" spans="1:44" ht="20.25" customHeight="1">
      <c r="A168" s="385"/>
      <c r="B168" s="385"/>
      <c r="C168" s="385"/>
      <c r="D168" s="385"/>
      <c r="E168" s="385"/>
      <c r="F168" s="385"/>
      <c r="G168" s="385"/>
      <c r="H168" s="385"/>
      <c r="I168" s="385"/>
      <c r="J168" s="385"/>
      <c r="K168" s="385"/>
      <c r="L168" s="385"/>
      <c r="M168" s="385"/>
      <c r="N168" s="385"/>
      <c r="O168" s="385"/>
      <c r="P168" s="385"/>
      <c r="Q168" s="385"/>
      <c r="R168" s="385"/>
      <c r="S168" s="385"/>
      <c r="T168" s="385"/>
      <c r="U168" s="385"/>
      <c r="V168" s="385"/>
      <c r="W168" s="385"/>
      <c r="X168" s="385"/>
      <c r="Y168" s="385"/>
      <c r="Z168" s="385"/>
      <c r="AA168" s="385"/>
      <c r="AB168" s="385"/>
      <c r="AC168" s="385"/>
      <c r="AD168" s="385"/>
      <c r="AE168" s="385"/>
      <c r="AF168" s="385"/>
      <c r="AG168" s="385"/>
      <c r="AH168" s="385"/>
      <c r="AI168" s="385"/>
      <c r="AJ168" s="385"/>
      <c r="AK168" s="385"/>
      <c r="AL168" s="385"/>
      <c r="AM168" s="385"/>
      <c r="AN168" s="385"/>
      <c r="AO168" s="385"/>
      <c r="AP168" s="385"/>
      <c r="AQ168" s="385"/>
      <c r="AR168" s="385"/>
    </row>
    <row r="169" spans="1:44" ht="20.25" customHeight="1">
      <c r="A169" s="385"/>
      <c r="B169" s="385"/>
      <c r="C169" s="385"/>
      <c r="D169" s="385"/>
      <c r="E169" s="385"/>
      <c r="F169" s="385"/>
      <c r="G169" s="385"/>
      <c r="H169" s="385"/>
      <c r="I169" s="385"/>
      <c r="J169" s="385"/>
      <c r="K169" s="385"/>
      <c r="L169" s="385"/>
      <c r="M169" s="385"/>
      <c r="N169" s="385"/>
      <c r="O169" s="385"/>
      <c r="P169" s="385"/>
      <c r="Q169" s="385"/>
      <c r="R169" s="385"/>
      <c r="S169" s="385"/>
      <c r="T169" s="385"/>
      <c r="U169" s="385"/>
      <c r="V169" s="385"/>
      <c r="W169" s="385"/>
      <c r="X169" s="385"/>
      <c r="Y169" s="385"/>
      <c r="Z169" s="385"/>
      <c r="AA169" s="385"/>
      <c r="AB169" s="385"/>
      <c r="AC169" s="385"/>
      <c r="AD169" s="385"/>
      <c r="AE169" s="385"/>
      <c r="AF169" s="385"/>
      <c r="AG169" s="385"/>
      <c r="AH169" s="385"/>
      <c r="AI169" s="385"/>
      <c r="AJ169" s="385"/>
      <c r="AK169" s="385"/>
      <c r="AL169" s="385"/>
      <c r="AM169" s="385"/>
      <c r="AN169" s="385"/>
      <c r="AO169" s="385"/>
      <c r="AP169" s="385"/>
      <c r="AQ169" s="385"/>
      <c r="AR169" s="385"/>
    </row>
    <row r="170" spans="1:44" ht="20.25" customHeight="1">
      <c r="A170" s="385"/>
      <c r="B170" s="385"/>
      <c r="C170" s="385"/>
      <c r="D170" s="385"/>
      <c r="E170" s="385"/>
      <c r="F170" s="385"/>
      <c r="G170" s="385"/>
      <c r="H170" s="385"/>
      <c r="I170" s="385"/>
      <c r="J170" s="385"/>
      <c r="K170" s="385"/>
      <c r="L170" s="385"/>
      <c r="M170" s="385"/>
      <c r="N170" s="385"/>
      <c r="O170" s="385"/>
      <c r="P170" s="385"/>
      <c r="Q170" s="385"/>
      <c r="R170" s="385"/>
      <c r="S170" s="385"/>
      <c r="T170" s="385"/>
      <c r="U170" s="385"/>
      <c r="V170" s="385"/>
      <c r="W170" s="385"/>
      <c r="X170" s="385"/>
      <c r="Y170" s="385"/>
      <c r="Z170" s="385"/>
      <c r="AA170" s="385"/>
      <c r="AB170" s="385"/>
      <c r="AC170" s="385"/>
      <c r="AD170" s="385"/>
      <c r="AE170" s="385"/>
      <c r="AF170" s="385"/>
      <c r="AG170" s="385"/>
      <c r="AH170" s="385"/>
      <c r="AI170" s="385"/>
      <c r="AJ170" s="385"/>
      <c r="AK170" s="385"/>
      <c r="AL170" s="385"/>
      <c r="AM170" s="385"/>
      <c r="AN170" s="385"/>
      <c r="AO170" s="385"/>
      <c r="AP170" s="385"/>
      <c r="AQ170" s="385"/>
      <c r="AR170" s="385"/>
    </row>
    <row r="171" spans="1:44" ht="20.25" customHeight="1">
      <c r="A171" s="385"/>
      <c r="B171" s="385"/>
      <c r="C171" s="385"/>
      <c r="D171" s="385"/>
      <c r="E171" s="385"/>
      <c r="F171" s="385"/>
      <c r="G171" s="385"/>
      <c r="H171" s="385"/>
      <c r="I171" s="385"/>
      <c r="J171" s="385"/>
      <c r="K171" s="385"/>
      <c r="L171" s="385"/>
      <c r="M171" s="385"/>
      <c r="N171" s="385"/>
      <c r="O171" s="385"/>
      <c r="P171" s="385"/>
      <c r="Q171" s="385"/>
      <c r="R171" s="385"/>
      <c r="S171" s="385"/>
      <c r="T171" s="385"/>
      <c r="U171" s="385"/>
      <c r="V171" s="385"/>
      <c r="W171" s="385"/>
      <c r="X171" s="385"/>
      <c r="Y171" s="385"/>
      <c r="Z171" s="385"/>
      <c r="AA171" s="385"/>
      <c r="AB171" s="385"/>
      <c r="AC171" s="385"/>
      <c r="AD171" s="385"/>
      <c r="AE171" s="385"/>
      <c r="AF171" s="385"/>
      <c r="AG171" s="385"/>
      <c r="AH171" s="385"/>
      <c r="AI171" s="385"/>
      <c r="AJ171" s="385"/>
      <c r="AK171" s="385"/>
      <c r="AL171" s="385"/>
      <c r="AM171" s="385"/>
      <c r="AN171" s="385"/>
      <c r="AO171" s="385"/>
      <c r="AP171" s="385"/>
      <c r="AQ171" s="385"/>
      <c r="AR171" s="385"/>
    </row>
    <row r="172" spans="1:44" ht="20.25" customHeight="1">
      <c r="A172" s="385"/>
      <c r="B172" s="385"/>
      <c r="C172" s="385"/>
      <c r="D172" s="385"/>
      <c r="E172" s="385"/>
      <c r="F172" s="385"/>
      <c r="G172" s="385"/>
      <c r="H172" s="385"/>
      <c r="I172" s="385"/>
      <c r="J172" s="385"/>
      <c r="K172" s="385"/>
      <c r="L172" s="385"/>
      <c r="M172" s="385"/>
      <c r="N172" s="385"/>
      <c r="O172" s="385"/>
      <c r="P172" s="385"/>
      <c r="Q172" s="385"/>
      <c r="R172" s="385"/>
      <c r="S172" s="385"/>
      <c r="T172" s="385"/>
      <c r="U172" s="385"/>
      <c r="V172" s="385"/>
      <c r="W172" s="385"/>
      <c r="X172" s="385"/>
      <c r="Y172" s="385"/>
      <c r="Z172" s="385"/>
      <c r="AA172" s="385"/>
      <c r="AB172" s="385"/>
      <c r="AC172" s="385"/>
      <c r="AD172" s="385"/>
      <c r="AE172" s="385"/>
      <c r="AF172" s="385"/>
      <c r="AG172" s="385"/>
      <c r="AH172" s="385"/>
      <c r="AI172" s="385"/>
      <c r="AJ172" s="385"/>
      <c r="AK172" s="385"/>
      <c r="AL172" s="385"/>
      <c r="AM172" s="385"/>
      <c r="AN172" s="385"/>
      <c r="AO172" s="385"/>
      <c r="AP172" s="385"/>
      <c r="AQ172" s="385"/>
      <c r="AR172" s="385"/>
    </row>
    <row r="173" spans="1:44" ht="20.25" customHeight="1">
      <c r="A173" s="385"/>
      <c r="B173" s="385"/>
      <c r="C173" s="385"/>
      <c r="D173" s="385"/>
      <c r="E173" s="385"/>
      <c r="F173" s="385"/>
      <c r="G173" s="385"/>
      <c r="H173" s="385"/>
      <c r="I173" s="385"/>
      <c r="J173" s="385"/>
      <c r="K173" s="385"/>
      <c r="L173" s="385"/>
      <c r="M173" s="385"/>
      <c r="N173" s="385"/>
      <c r="O173" s="385"/>
      <c r="P173" s="385"/>
      <c r="Q173" s="385"/>
      <c r="R173" s="385"/>
      <c r="S173" s="385"/>
      <c r="T173" s="385"/>
      <c r="U173" s="385"/>
      <c r="V173" s="385"/>
      <c r="W173" s="385"/>
      <c r="X173" s="385"/>
      <c r="Y173" s="385"/>
      <c r="Z173" s="385"/>
      <c r="AA173" s="385"/>
      <c r="AB173" s="385"/>
      <c r="AC173" s="385"/>
      <c r="AD173" s="385"/>
      <c r="AE173" s="385"/>
      <c r="AF173" s="385"/>
      <c r="AG173" s="385"/>
      <c r="AH173" s="385"/>
      <c r="AI173" s="385"/>
      <c r="AJ173" s="385"/>
      <c r="AK173" s="385"/>
      <c r="AL173" s="385"/>
      <c r="AM173" s="385"/>
      <c r="AN173" s="385"/>
      <c r="AO173" s="385"/>
      <c r="AP173" s="385"/>
      <c r="AQ173" s="385"/>
      <c r="AR173" s="385"/>
    </row>
    <row r="174" spans="1:44" ht="20.25" customHeight="1">
      <c r="A174" s="385"/>
      <c r="B174" s="385"/>
      <c r="C174" s="385"/>
      <c r="D174" s="385"/>
      <c r="E174" s="385"/>
      <c r="F174" s="385"/>
      <c r="G174" s="385"/>
      <c r="H174" s="385"/>
      <c r="I174" s="385"/>
      <c r="J174" s="385"/>
      <c r="K174" s="385"/>
      <c r="L174" s="385"/>
      <c r="M174" s="385"/>
      <c r="N174" s="385"/>
      <c r="O174" s="385"/>
      <c r="P174" s="385"/>
      <c r="Q174" s="385"/>
      <c r="R174" s="385"/>
      <c r="S174" s="385"/>
      <c r="T174" s="385"/>
      <c r="U174" s="385"/>
      <c r="V174" s="385"/>
      <c r="W174" s="385"/>
      <c r="X174" s="385"/>
      <c r="Y174" s="385"/>
      <c r="Z174" s="385"/>
      <c r="AA174" s="385"/>
      <c r="AB174" s="385"/>
      <c r="AC174" s="385"/>
      <c r="AD174" s="385"/>
      <c r="AE174" s="385"/>
      <c r="AF174" s="385"/>
      <c r="AG174" s="385"/>
      <c r="AH174" s="385"/>
      <c r="AI174" s="385"/>
      <c r="AJ174" s="385"/>
      <c r="AK174" s="385"/>
      <c r="AL174" s="385"/>
      <c r="AM174" s="385"/>
      <c r="AN174" s="385"/>
      <c r="AO174" s="385"/>
      <c r="AP174" s="385"/>
      <c r="AQ174" s="385"/>
      <c r="AR174" s="385"/>
    </row>
    <row r="175" spans="1:44" ht="20.25" customHeight="1">
      <c r="A175" s="385"/>
      <c r="B175" s="385"/>
      <c r="C175" s="385"/>
      <c r="D175" s="385"/>
      <c r="E175" s="385"/>
      <c r="F175" s="385"/>
      <c r="G175" s="385"/>
      <c r="H175" s="385"/>
      <c r="I175" s="385"/>
      <c r="J175" s="385"/>
      <c r="K175" s="385"/>
      <c r="L175" s="385"/>
      <c r="M175" s="385"/>
      <c r="N175" s="385"/>
      <c r="O175" s="385"/>
      <c r="P175" s="385"/>
      <c r="Q175" s="385"/>
      <c r="R175" s="385"/>
      <c r="S175" s="385"/>
      <c r="T175" s="385"/>
      <c r="U175" s="385"/>
      <c r="V175" s="385"/>
      <c r="W175" s="385"/>
      <c r="X175" s="385"/>
      <c r="Y175" s="385"/>
      <c r="Z175" s="385"/>
      <c r="AA175" s="385"/>
      <c r="AB175" s="385"/>
      <c r="AC175" s="385"/>
      <c r="AD175" s="385"/>
      <c r="AE175" s="385"/>
      <c r="AF175" s="385"/>
      <c r="AG175" s="385"/>
      <c r="AH175" s="385"/>
      <c r="AI175" s="385"/>
      <c r="AJ175" s="385"/>
      <c r="AK175" s="385"/>
      <c r="AL175" s="385"/>
      <c r="AM175" s="385"/>
      <c r="AN175" s="385"/>
      <c r="AO175" s="385"/>
      <c r="AP175" s="385"/>
      <c r="AQ175" s="385"/>
      <c r="AR175" s="385"/>
    </row>
    <row r="176" spans="1:44" ht="20.25" customHeight="1">
      <c r="A176" s="385"/>
      <c r="B176" s="385"/>
      <c r="C176" s="385"/>
      <c r="D176" s="385"/>
      <c r="E176" s="385"/>
      <c r="F176" s="385"/>
      <c r="G176" s="385"/>
      <c r="H176" s="385"/>
      <c r="I176" s="385"/>
      <c r="J176" s="385"/>
      <c r="K176" s="385"/>
      <c r="L176" s="385"/>
      <c r="M176" s="385"/>
      <c r="N176" s="385"/>
      <c r="O176" s="385"/>
      <c r="P176" s="385"/>
      <c r="Q176" s="385"/>
      <c r="R176" s="385"/>
      <c r="S176" s="385"/>
      <c r="T176" s="385"/>
      <c r="U176" s="385"/>
      <c r="V176" s="385"/>
      <c r="W176" s="385"/>
      <c r="X176" s="385"/>
      <c r="Y176" s="385"/>
      <c r="Z176" s="385"/>
      <c r="AA176" s="385"/>
      <c r="AB176" s="385"/>
      <c r="AC176" s="385"/>
      <c r="AD176" s="385"/>
      <c r="AE176" s="385"/>
      <c r="AF176" s="385"/>
      <c r="AG176" s="385"/>
      <c r="AH176" s="385"/>
      <c r="AI176" s="385"/>
      <c r="AJ176" s="385"/>
      <c r="AK176" s="385"/>
      <c r="AL176" s="385"/>
      <c r="AM176" s="385"/>
      <c r="AN176" s="385"/>
      <c r="AO176" s="385"/>
      <c r="AP176" s="385"/>
      <c r="AQ176" s="385"/>
      <c r="AR176" s="385"/>
    </row>
    <row r="177" spans="1:44" ht="20.25" customHeight="1">
      <c r="A177" s="385"/>
      <c r="B177" s="385"/>
      <c r="C177" s="385"/>
      <c r="D177" s="385"/>
      <c r="E177" s="385"/>
      <c r="F177" s="385"/>
      <c r="G177" s="385"/>
      <c r="H177" s="385"/>
      <c r="I177" s="385"/>
      <c r="J177" s="385"/>
      <c r="K177" s="385"/>
      <c r="L177" s="385"/>
      <c r="M177" s="385"/>
      <c r="N177" s="385"/>
      <c r="O177" s="385"/>
      <c r="P177" s="385"/>
      <c r="Q177" s="385"/>
      <c r="R177" s="385"/>
      <c r="S177" s="385"/>
      <c r="T177" s="385"/>
      <c r="U177" s="385"/>
      <c r="V177" s="385"/>
      <c r="W177" s="385"/>
      <c r="X177" s="385"/>
      <c r="Y177" s="385"/>
      <c r="Z177" s="385"/>
      <c r="AA177" s="385"/>
      <c r="AB177" s="385"/>
      <c r="AC177" s="385"/>
      <c r="AD177" s="385"/>
      <c r="AE177" s="385"/>
      <c r="AF177" s="385"/>
      <c r="AG177" s="385"/>
      <c r="AH177" s="385"/>
      <c r="AI177" s="385"/>
      <c r="AJ177" s="385"/>
      <c r="AK177" s="385"/>
      <c r="AL177" s="385"/>
      <c r="AM177" s="385"/>
      <c r="AN177" s="385"/>
      <c r="AO177" s="385"/>
      <c r="AP177" s="385"/>
      <c r="AQ177" s="385"/>
      <c r="AR177" s="385"/>
    </row>
    <row r="178" spans="1:44" ht="20.25" customHeight="1">
      <c r="A178" s="385"/>
      <c r="B178" s="385"/>
      <c r="C178" s="385"/>
      <c r="D178" s="385"/>
      <c r="E178" s="385"/>
      <c r="F178" s="385"/>
      <c r="G178" s="385"/>
      <c r="H178" s="385"/>
      <c r="I178" s="385"/>
      <c r="J178" s="385"/>
      <c r="K178" s="385"/>
      <c r="L178" s="385"/>
      <c r="M178" s="385"/>
      <c r="N178" s="385"/>
      <c r="O178" s="385"/>
      <c r="P178" s="385"/>
      <c r="Q178" s="385"/>
      <c r="R178" s="385"/>
      <c r="S178" s="385"/>
      <c r="T178" s="385"/>
      <c r="U178" s="385"/>
      <c r="V178" s="385"/>
      <c r="W178" s="385"/>
      <c r="X178" s="385"/>
      <c r="Y178" s="385"/>
      <c r="Z178" s="385"/>
      <c r="AA178" s="385"/>
      <c r="AB178" s="385"/>
      <c r="AC178" s="385"/>
      <c r="AD178" s="385"/>
      <c r="AE178" s="385"/>
      <c r="AF178" s="385"/>
      <c r="AG178" s="385"/>
      <c r="AH178" s="385"/>
      <c r="AI178" s="385"/>
      <c r="AJ178" s="385"/>
      <c r="AK178" s="385"/>
      <c r="AL178" s="385"/>
      <c r="AM178" s="385"/>
      <c r="AN178" s="385"/>
      <c r="AO178" s="385"/>
      <c r="AP178" s="385"/>
      <c r="AQ178" s="385"/>
      <c r="AR178" s="385"/>
    </row>
    <row r="179" spans="1:44" ht="20.25" customHeight="1">
      <c r="A179" s="385"/>
      <c r="B179" s="385"/>
      <c r="C179" s="385"/>
      <c r="D179" s="385"/>
      <c r="E179" s="385"/>
      <c r="F179" s="385"/>
      <c r="G179" s="385"/>
      <c r="H179" s="385"/>
      <c r="I179" s="385"/>
      <c r="J179" s="385"/>
      <c r="K179" s="385"/>
      <c r="L179" s="385"/>
      <c r="M179" s="385"/>
      <c r="N179" s="385"/>
      <c r="O179" s="385"/>
      <c r="P179" s="385"/>
      <c r="Q179" s="385"/>
      <c r="R179" s="385"/>
      <c r="S179" s="385"/>
      <c r="T179" s="385"/>
      <c r="U179" s="385"/>
      <c r="V179" s="385"/>
      <c r="W179" s="385"/>
      <c r="X179" s="385"/>
      <c r="Y179" s="385"/>
      <c r="Z179" s="385"/>
      <c r="AA179" s="385"/>
      <c r="AB179" s="385"/>
      <c r="AC179" s="385"/>
      <c r="AD179" s="385"/>
      <c r="AE179" s="385"/>
      <c r="AF179" s="385"/>
      <c r="AG179" s="385"/>
      <c r="AH179" s="385"/>
      <c r="AI179" s="385"/>
      <c r="AJ179" s="385"/>
      <c r="AK179" s="385"/>
      <c r="AL179" s="385"/>
      <c r="AM179" s="385"/>
      <c r="AN179" s="385"/>
      <c r="AO179" s="385"/>
      <c r="AP179" s="385"/>
      <c r="AQ179" s="385"/>
      <c r="AR179" s="385"/>
    </row>
    <row r="180" spans="1:44" ht="20.25" customHeight="1">
      <c r="A180" s="385"/>
      <c r="B180" s="385"/>
      <c r="C180" s="385"/>
      <c r="D180" s="385"/>
      <c r="E180" s="385"/>
      <c r="F180" s="385"/>
      <c r="G180" s="385"/>
      <c r="H180" s="385"/>
      <c r="I180" s="385"/>
      <c r="J180" s="385"/>
      <c r="K180" s="385"/>
      <c r="L180" s="385"/>
      <c r="M180" s="385"/>
      <c r="N180" s="385"/>
      <c r="O180" s="385"/>
      <c r="P180" s="385"/>
      <c r="Q180" s="385"/>
      <c r="R180" s="385"/>
      <c r="S180" s="385"/>
      <c r="T180" s="385"/>
      <c r="U180" s="385"/>
      <c r="V180" s="385"/>
      <c r="W180" s="385"/>
      <c r="X180" s="385"/>
      <c r="Y180" s="385"/>
      <c r="Z180" s="385"/>
      <c r="AA180" s="385"/>
      <c r="AB180" s="385"/>
      <c r="AC180" s="385"/>
      <c r="AD180" s="385"/>
      <c r="AE180" s="385"/>
      <c r="AF180" s="385"/>
      <c r="AG180" s="385"/>
      <c r="AH180" s="385"/>
      <c r="AI180" s="385"/>
      <c r="AJ180" s="385"/>
      <c r="AK180" s="385"/>
      <c r="AL180" s="385"/>
      <c r="AM180" s="385"/>
      <c r="AN180" s="385"/>
      <c r="AO180" s="385"/>
      <c r="AP180" s="385"/>
      <c r="AQ180" s="385"/>
      <c r="AR180" s="385"/>
    </row>
    <row r="181" spans="1:44" ht="20.25" customHeight="1">
      <c r="A181" s="385"/>
      <c r="B181" s="385"/>
      <c r="C181" s="385"/>
      <c r="D181" s="385"/>
      <c r="E181" s="385"/>
      <c r="F181" s="385"/>
      <c r="G181" s="385"/>
      <c r="H181" s="385"/>
      <c r="I181" s="385"/>
      <c r="J181" s="385"/>
      <c r="K181" s="385"/>
      <c r="L181" s="385"/>
      <c r="M181" s="385"/>
      <c r="N181" s="385"/>
      <c r="O181" s="385"/>
      <c r="P181" s="385"/>
      <c r="Q181" s="385"/>
      <c r="R181" s="385"/>
      <c r="S181" s="385"/>
      <c r="T181" s="385"/>
      <c r="U181" s="385"/>
      <c r="V181" s="385"/>
      <c r="W181" s="385"/>
      <c r="X181" s="385"/>
      <c r="Y181" s="385"/>
      <c r="Z181" s="385"/>
      <c r="AA181" s="385"/>
      <c r="AB181" s="385"/>
      <c r="AC181" s="385"/>
      <c r="AD181" s="385"/>
      <c r="AE181" s="385"/>
      <c r="AF181" s="385"/>
      <c r="AG181" s="385"/>
      <c r="AH181" s="385"/>
      <c r="AI181" s="385"/>
      <c r="AJ181" s="385"/>
      <c r="AK181" s="385"/>
      <c r="AL181" s="385"/>
      <c r="AM181" s="385"/>
      <c r="AN181" s="385"/>
      <c r="AO181" s="385"/>
      <c r="AP181" s="385"/>
      <c r="AQ181" s="385"/>
      <c r="AR181" s="385"/>
    </row>
    <row r="182" spans="1:44" ht="20.25" customHeight="1">
      <c r="A182" s="385"/>
      <c r="B182" s="385"/>
      <c r="C182" s="385"/>
      <c r="D182" s="385"/>
      <c r="E182" s="385"/>
      <c r="F182" s="385"/>
      <c r="G182" s="385"/>
      <c r="H182" s="385"/>
      <c r="I182" s="385"/>
      <c r="J182" s="385"/>
      <c r="K182" s="385"/>
      <c r="L182" s="385"/>
      <c r="M182" s="385"/>
      <c r="N182" s="385"/>
      <c r="O182" s="385"/>
      <c r="P182" s="385"/>
      <c r="Q182" s="385"/>
      <c r="R182" s="385"/>
      <c r="S182" s="385"/>
      <c r="T182" s="385"/>
      <c r="U182" s="385"/>
      <c r="V182" s="385"/>
      <c r="W182" s="385"/>
      <c r="X182" s="385"/>
      <c r="Y182" s="385"/>
      <c r="Z182" s="385"/>
      <c r="AA182" s="385"/>
      <c r="AB182" s="385"/>
      <c r="AC182" s="385"/>
      <c r="AD182" s="385"/>
      <c r="AE182" s="385"/>
      <c r="AF182" s="385"/>
      <c r="AG182" s="385"/>
      <c r="AH182" s="385"/>
      <c r="AI182" s="385"/>
      <c r="AJ182" s="385"/>
      <c r="AK182" s="385"/>
      <c r="AL182" s="385"/>
      <c r="AM182" s="385"/>
      <c r="AN182" s="385"/>
      <c r="AO182" s="385"/>
      <c r="AP182" s="385"/>
      <c r="AQ182" s="385"/>
      <c r="AR182" s="385"/>
    </row>
    <row r="183" spans="1:44" ht="20.25" customHeight="1">
      <c r="A183" s="385"/>
      <c r="B183" s="385"/>
      <c r="C183" s="385"/>
      <c r="D183" s="385"/>
      <c r="E183" s="385"/>
      <c r="F183" s="385"/>
      <c r="G183" s="385"/>
      <c r="H183" s="385"/>
      <c r="I183" s="385"/>
      <c r="J183" s="385"/>
      <c r="K183" s="385"/>
      <c r="L183" s="385"/>
      <c r="M183" s="385"/>
      <c r="N183" s="385"/>
      <c r="O183" s="385"/>
      <c r="P183" s="385"/>
      <c r="Q183" s="385"/>
      <c r="R183" s="385"/>
      <c r="S183" s="385"/>
      <c r="T183" s="385"/>
      <c r="U183" s="385"/>
      <c r="V183" s="385"/>
      <c r="W183" s="385"/>
      <c r="X183" s="385"/>
      <c r="Y183" s="385"/>
      <c r="Z183" s="385"/>
      <c r="AA183" s="385"/>
      <c r="AB183" s="385"/>
      <c r="AC183" s="385"/>
      <c r="AD183" s="385"/>
      <c r="AE183" s="385"/>
      <c r="AF183" s="385"/>
      <c r="AG183" s="385"/>
      <c r="AH183" s="385"/>
      <c r="AI183" s="385"/>
      <c r="AJ183" s="385"/>
      <c r="AK183" s="385"/>
      <c r="AL183" s="385"/>
      <c r="AM183" s="385"/>
      <c r="AN183" s="385"/>
      <c r="AO183" s="385"/>
      <c r="AP183" s="385"/>
      <c r="AQ183" s="385"/>
      <c r="AR183" s="385"/>
    </row>
    <row r="184" spans="1:44" ht="20.25" customHeight="1">
      <c r="A184" s="385"/>
      <c r="B184" s="385"/>
      <c r="C184" s="385"/>
      <c r="D184" s="385"/>
      <c r="E184" s="385"/>
      <c r="F184" s="385"/>
      <c r="G184" s="385"/>
      <c r="H184" s="385"/>
      <c r="I184" s="385"/>
      <c r="J184" s="385"/>
      <c r="K184" s="385"/>
      <c r="L184" s="385"/>
      <c r="M184" s="385"/>
      <c r="N184" s="385"/>
      <c r="O184" s="385"/>
      <c r="P184" s="385"/>
      <c r="Q184" s="385"/>
      <c r="R184" s="385"/>
      <c r="S184" s="385"/>
      <c r="T184" s="385"/>
      <c r="U184" s="385"/>
      <c r="V184" s="385"/>
      <c r="W184" s="385"/>
      <c r="X184" s="385"/>
      <c r="Y184" s="385"/>
      <c r="Z184" s="385"/>
      <c r="AA184" s="385"/>
      <c r="AB184" s="385"/>
      <c r="AC184" s="385"/>
      <c r="AD184" s="385"/>
      <c r="AE184" s="385"/>
      <c r="AF184" s="385"/>
      <c r="AG184" s="385"/>
      <c r="AH184" s="385"/>
      <c r="AI184" s="385"/>
      <c r="AJ184" s="385"/>
      <c r="AK184" s="385"/>
      <c r="AL184" s="385"/>
      <c r="AM184" s="385"/>
      <c r="AN184" s="385"/>
      <c r="AO184" s="385"/>
      <c r="AP184" s="385"/>
      <c r="AQ184" s="385"/>
      <c r="AR184" s="385"/>
    </row>
    <row r="185" spans="1:44" ht="20.25" customHeight="1">
      <c r="A185" s="385"/>
      <c r="B185" s="385"/>
      <c r="C185" s="385"/>
      <c r="D185" s="385"/>
      <c r="E185" s="385"/>
      <c r="F185" s="385"/>
      <c r="G185" s="385"/>
      <c r="H185" s="385"/>
      <c r="I185" s="385"/>
      <c r="J185" s="385"/>
      <c r="K185" s="385"/>
      <c r="L185" s="385"/>
      <c r="M185" s="385"/>
      <c r="N185" s="385"/>
      <c r="O185" s="385"/>
      <c r="P185" s="385"/>
      <c r="Q185" s="385"/>
      <c r="R185" s="385"/>
      <c r="S185" s="385"/>
      <c r="T185" s="385"/>
      <c r="U185" s="385"/>
      <c r="V185" s="385"/>
      <c r="W185" s="385"/>
      <c r="X185" s="385"/>
      <c r="Y185" s="385"/>
      <c r="Z185" s="385"/>
      <c r="AA185" s="385"/>
      <c r="AB185" s="385"/>
      <c r="AC185" s="385"/>
      <c r="AD185" s="385"/>
      <c r="AE185" s="385"/>
      <c r="AF185" s="385"/>
      <c r="AG185" s="385"/>
      <c r="AH185" s="385"/>
      <c r="AI185" s="385"/>
      <c r="AJ185" s="385"/>
      <c r="AK185" s="385"/>
      <c r="AL185" s="385"/>
      <c r="AM185" s="385"/>
      <c r="AN185" s="385"/>
      <c r="AO185" s="385"/>
      <c r="AP185" s="385"/>
      <c r="AQ185" s="385"/>
      <c r="AR185" s="385"/>
    </row>
    <row r="186" spans="1:44" ht="20.25" customHeight="1">
      <c r="A186" s="385"/>
      <c r="B186" s="385"/>
      <c r="C186" s="385"/>
      <c r="D186" s="385"/>
      <c r="E186" s="385"/>
      <c r="F186" s="385"/>
      <c r="G186" s="385"/>
      <c r="H186" s="385"/>
      <c r="I186" s="385"/>
      <c r="J186" s="385"/>
      <c r="K186" s="385"/>
      <c r="L186" s="385"/>
      <c r="M186" s="385"/>
      <c r="N186" s="385"/>
      <c r="O186" s="385"/>
      <c r="P186" s="385"/>
      <c r="Q186" s="385"/>
      <c r="R186" s="385"/>
      <c r="S186" s="385"/>
      <c r="T186" s="385"/>
      <c r="U186" s="385"/>
      <c r="V186" s="385"/>
      <c r="W186" s="385"/>
      <c r="X186" s="385"/>
      <c r="Y186" s="385"/>
      <c r="Z186" s="385"/>
      <c r="AA186" s="385"/>
      <c r="AB186" s="385"/>
      <c r="AC186" s="385"/>
      <c r="AD186" s="385"/>
      <c r="AE186" s="385"/>
      <c r="AF186" s="385"/>
      <c r="AG186" s="385"/>
      <c r="AH186" s="385"/>
      <c r="AI186" s="385"/>
      <c r="AJ186" s="385"/>
      <c r="AK186" s="385"/>
      <c r="AL186" s="385"/>
      <c r="AM186" s="385"/>
      <c r="AN186" s="385"/>
      <c r="AO186" s="385"/>
      <c r="AP186" s="385"/>
      <c r="AQ186" s="385"/>
      <c r="AR186" s="385"/>
    </row>
    <row r="187" spans="1:44" ht="20.25" customHeight="1">
      <c r="A187" s="385"/>
      <c r="B187" s="385"/>
      <c r="C187" s="385"/>
      <c r="D187" s="385"/>
      <c r="E187" s="385"/>
      <c r="F187" s="385"/>
      <c r="G187" s="385"/>
      <c r="H187" s="385"/>
      <c r="I187" s="385"/>
      <c r="J187" s="385"/>
      <c r="K187" s="385"/>
      <c r="L187" s="385"/>
      <c r="M187" s="385"/>
      <c r="N187" s="385"/>
      <c r="O187" s="385"/>
      <c r="P187" s="385"/>
      <c r="Q187" s="385"/>
      <c r="R187" s="385"/>
      <c r="S187" s="385"/>
      <c r="T187" s="385"/>
      <c r="U187" s="385"/>
      <c r="V187" s="385"/>
      <c r="W187" s="385"/>
      <c r="X187" s="385"/>
      <c r="Y187" s="385"/>
      <c r="Z187" s="385"/>
      <c r="AA187" s="385"/>
      <c r="AB187" s="385"/>
      <c r="AC187" s="385"/>
      <c r="AD187" s="385"/>
      <c r="AE187" s="385"/>
      <c r="AF187" s="385"/>
      <c r="AG187" s="385"/>
      <c r="AH187" s="385"/>
      <c r="AI187" s="385"/>
      <c r="AJ187" s="385"/>
      <c r="AK187" s="385"/>
      <c r="AL187" s="385"/>
      <c r="AM187" s="385"/>
      <c r="AN187" s="385"/>
      <c r="AO187" s="385"/>
      <c r="AP187" s="385"/>
      <c r="AQ187" s="385"/>
      <c r="AR187" s="385"/>
    </row>
    <row r="188" spans="1:44" ht="20.25" customHeight="1"/>
    <row r="189" spans="1:44" ht="20.25" customHeight="1"/>
    <row r="190" spans="1:44" ht="20.25" customHeight="1"/>
    <row r="191" spans="1:44" ht="20.25" customHeight="1"/>
    <row r="192" spans="1:44" ht="20.25" customHeight="1"/>
    <row r="193" ht="20.25" customHeight="1"/>
    <row r="194" ht="20.25" customHeight="1"/>
    <row r="195" ht="20.25" customHeight="1"/>
    <row r="196" ht="20.25" customHeight="1"/>
    <row r="197" ht="20.25" customHeight="1"/>
    <row r="198" ht="20.25" customHeight="1"/>
    <row r="199" ht="20.25" customHeight="1"/>
    <row r="200" ht="20.25" customHeight="1"/>
    <row r="201" ht="20.25" customHeight="1"/>
    <row r="202" ht="20.25" customHeight="1"/>
    <row r="203" ht="20.25" customHeight="1"/>
    <row r="204" ht="20.25" customHeight="1"/>
    <row r="205" ht="20.25" customHeight="1"/>
    <row r="206" ht="20.25" customHeight="1"/>
    <row r="207" ht="20.25" customHeight="1"/>
    <row r="208" ht="20.25" customHeight="1"/>
    <row r="209" ht="20.25" customHeight="1"/>
    <row r="210" ht="20.25" customHeight="1"/>
    <row r="211" ht="20.25" customHeight="1"/>
    <row r="212" ht="20.25" customHeight="1"/>
    <row r="213" ht="20.25" customHeight="1"/>
    <row r="214" ht="20.25" customHeight="1"/>
    <row r="215" ht="20.25" customHeight="1"/>
    <row r="216" ht="20.25" customHeight="1"/>
    <row r="217" ht="20.25" customHeight="1"/>
    <row r="218" ht="20.25" customHeight="1"/>
    <row r="219" ht="20.25" customHeight="1"/>
    <row r="220" ht="20.25" customHeight="1"/>
    <row r="221" ht="20.25" customHeight="1"/>
    <row r="222" ht="20.25" customHeight="1"/>
    <row r="223" ht="20.25" customHeight="1"/>
    <row r="224" ht="20.25" customHeight="1"/>
    <row r="225" ht="20.25" customHeight="1"/>
    <row r="226" ht="20.25" customHeight="1"/>
    <row r="227" ht="20.25" customHeight="1"/>
    <row r="228" ht="20.25" customHeight="1"/>
    <row r="229" ht="20.25" customHeight="1"/>
    <row r="230" ht="20.25" customHeight="1"/>
    <row r="231" ht="20.25" customHeight="1"/>
    <row r="232" ht="20.25" customHeight="1"/>
    <row r="233" ht="20.25" customHeight="1"/>
    <row r="234" ht="20.25" customHeight="1"/>
    <row r="235" ht="20.25" customHeight="1"/>
    <row r="236" ht="20.25" customHeight="1"/>
    <row r="237" ht="20.25" customHeight="1"/>
    <row r="238" ht="20.25" customHeight="1"/>
    <row r="239" ht="20.25" customHeight="1"/>
    <row r="240" ht="20.25" customHeight="1"/>
    <row r="241" ht="20.25" customHeight="1"/>
    <row r="242" ht="20.25" customHeight="1"/>
    <row r="243" ht="20.25" customHeight="1"/>
    <row r="244" ht="20.25" customHeight="1"/>
    <row r="245" ht="20.25" customHeight="1"/>
    <row r="246" ht="20.25" customHeight="1"/>
    <row r="247" ht="20.25" customHeight="1"/>
    <row r="248" ht="20.25" customHeight="1"/>
    <row r="249" ht="20.25" customHeight="1"/>
    <row r="250" ht="20.25" customHeight="1"/>
    <row r="251" ht="20.25" customHeight="1"/>
    <row r="252" ht="20.25" customHeight="1"/>
    <row r="253" ht="20.25" customHeight="1"/>
    <row r="254" ht="20.25" customHeight="1"/>
  </sheetData>
  <sheetProtection selectLockedCells="1" selectUnlockedCells="1"/>
  <mergeCells count="6">
    <mergeCell ref="B19:G19"/>
    <mergeCell ref="D2:I7"/>
    <mergeCell ref="B12:G12"/>
    <mergeCell ref="H12:J12"/>
    <mergeCell ref="B13:G13"/>
    <mergeCell ref="H13:J13"/>
  </mergeCells>
  <dataValidations count="2">
    <dataValidation type="list" allowBlank="1" showInputMessage="1" showErrorMessage="1" sqref="F14">
      <formula1>$M$14:$M$15</formula1>
    </dataValidation>
    <dataValidation type="list" allowBlank="1" showInputMessage="1" showErrorMessage="1" sqref="H13">
      <formula1>"Basically existing design,Moderate modifications to existing design,Major modifications to existing design,Nominal new design,New design with advanced development"</formula1>
    </dataValidation>
  </dataValidations>
  <pageMargins left="0.74791666666666667" right="0.74791666666666667" top="0.98402777777777772" bottom="0.98402777777777772" header="0.51180555555555551" footer="0.51180555555555551"/>
  <pageSetup paperSize="9" firstPageNumber="0"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theme="8" tint="-0.249977111117893"/>
    <pageSetUpPr fitToPage="1"/>
  </sheetPr>
  <dimension ref="A1:CI257"/>
  <sheetViews>
    <sheetView tabSelected="1" zoomScale="40" zoomScaleNormal="40" workbookViewId="0">
      <pane ySplit="10" topLeftCell="A11" activePane="bottomLeft" state="frozen"/>
      <selection activeCell="Q9" sqref="Q9"/>
      <selection pane="bottomLeft" activeCell="B21" sqref="B21:F21"/>
    </sheetView>
  </sheetViews>
  <sheetFormatPr defaultColWidth="7.1796875" defaultRowHeight="13.2"/>
  <cols>
    <col min="1" max="1" width="7.36328125" style="58" customWidth="1"/>
    <col min="2" max="2" width="8.453125" style="58" customWidth="1"/>
    <col min="3" max="3" width="31.90625" style="58" customWidth="1"/>
    <col min="4" max="4" width="14.6328125" style="58" customWidth="1"/>
    <col min="5" max="5" width="17.08984375" style="58" customWidth="1"/>
    <col min="6" max="6" width="13.1796875" style="58" customWidth="1"/>
    <col min="7" max="7" width="9.90625" style="58" customWidth="1"/>
    <col min="8" max="8" width="50.453125" style="58" bestFit="1" customWidth="1"/>
    <col min="9" max="9" width="17.90625" style="58" customWidth="1"/>
    <col min="10" max="10" width="15.08984375" style="58" bestFit="1" customWidth="1"/>
    <col min="11" max="11" width="13.6328125" style="242" customWidth="1"/>
    <col min="12" max="12" width="7.36328125" style="58" customWidth="1"/>
    <col min="13" max="13" width="10.36328125" style="58" customWidth="1"/>
    <col min="14" max="14" width="19.90625" style="58" bestFit="1" customWidth="1"/>
    <col min="15" max="15" width="28.6328125" style="58" bestFit="1" customWidth="1"/>
    <col min="16" max="16" width="12" style="58" customWidth="1"/>
    <col min="17" max="17" width="17.08984375" style="58" customWidth="1"/>
    <col min="18" max="18" width="13.81640625" style="58" bestFit="1" customWidth="1"/>
    <col min="19" max="19" width="7.36328125" style="58" customWidth="1"/>
    <col min="20" max="86" width="7.1796875" style="58"/>
    <col min="87" max="87" width="12.90625" style="58" bestFit="1" customWidth="1"/>
    <col min="88" max="16384" width="7.1796875" style="58"/>
  </cols>
  <sheetData>
    <row r="1" spans="1:87" ht="20.100000000000001" customHeight="1">
      <c r="A1" s="56"/>
      <c r="B1" s="56"/>
      <c r="C1" s="57"/>
      <c r="D1" s="57"/>
      <c r="E1" s="56"/>
      <c r="F1" s="57"/>
      <c r="G1" s="57"/>
      <c r="H1" s="57"/>
      <c r="I1" s="57"/>
      <c r="J1" s="57"/>
      <c r="K1" s="57"/>
      <c r="L1" s="57"/>
      <c r="M1" s="57"/>
      <c r="N1" s="57"/>
      <c r="O1" s="56"/>
      <c r="P1" s="56"/>
      <c r="Q1" s="56"/>
      <c r="R1" s="56"/>
      <c r="S1" s="56"/>
    </row>
    <row r="2" spans="1:87" ht="20.100000000000001" customHeight="1">
      <c r="A2" s="57"/>
      <c r="B2" s="57"/>
      <c r="C2" s="57"/>
      <c r="D2" s="57"/>
      <c r="E2" s="502"/>
      <c r="F2" s="503"/>
      <c r="G2" s="503"/>
      <c r="H2" s="503"/>
      <c r="I2" s="503"/>
      <c r="J2" s="57"/>
      <c r="K2" s="57"/>
      <c r="L2" s="57"/>
      <c r="M2" s="57"/>
      <c r="N2" s="57"/>
      <c r="O2" s="56"/>
      <c r="P2" s="56"/>
      <c r="Q2" s="56"/>
      <c r="R2" s="56"/>
      <c r="S2" s="56"/>
    </row>
    <row r="3" spans="1:87" ht="12.75" customHeight="1">
      <c r="A3" s="57"/>
      <c r="B3" s="57"/>
      <c r="C3" s="57"/>
      <c r="D3" s="57"/>
      <c r="E3" s="503"/>
      <c r="F3" s="503"/>
      <c r="G3" s="503"/>
      <c r="H3" s="503"/>
      <c r="I3" s="503"/>
      <c r="J3" s="57"/>
      <c r="K3" s="57"/>
      <c r="L3" s="57"/>
      <c r="M3" s="57"/>
      <c r="N3" s="57"/>
      <c r="O3" s="56"/>
      <c r="P3" s="56"/>
      <c r="Q3" s="56"/>
      <c r="R3" s="56"/>
      <c r="S3" s="56"/>
    </row>
    <row r="4" spans="1:87" ht="12.75" customHeight="1">
      <c r="A4" s="57"/>
      <c r="B4" s="57"/>
      <c r="C4" s="57"/>
      <c r="D4" s="57"/>
      <c r="E4" s="503"/>
      <c r="F4" s="503"/>
      <c r="G4" s="503"/>
      <c r="H4" s="503"/>
      <c r="I4" s="503"/>
      <c r="J4" s="57"/>
      <c r="K4" s="57"/>
      <c r="L4" s="57"/>
      <c r="M4" s="57"/>
      <c r="N4" s="57"/>
      <c r="O4" s="56"/>
      <c r="P4" s="56"/>
      <c r="Q4" s="56"/>
      <c r="R4" s="56"/>
      <c r="S4" s="56"/>
    </row>
    <row r="5" spans="1:87" ht="14.1" customHeight="1">
      <c r="A5" s="57"/>
      <c r="B5" s="57"/>
      <c r="C5" s="57"/>
      <c r="D5" s="57"/>
      <c r="E5" s="503"/>
      <c r="F5" s="503"/>
      <c r="G5" s="503"/>
      <c r="H5" s="503"/>
      <c r="I5" s="503"/>
      <c r="J5" s="57"/>
      <c r="K5" s="57"/>
      <c r="L5" s="57"/>
      <c r="M5" s="57"/>
      <c r="N5" s="57"/>
      <c r="O5" s="56"/>
      <c r="P5" s="56"/>
      <c r="Q5" s="56"/>
      <c r="R5" s="5">
        <f>IF(AND(J36&lt;&gt;"",I38&lt;&gt;""),I38-J36,"")</f>
        <v>314.69197215369763</v>
      </c>
      <c r="S5" s="56"/>
    </row>
    <row r="6" spans="1:87" ht="12.75" customHeight="1">
      <c r="A6" s="57"/>
      <c r="B6" s="57"/>
      <c r="C6" s="57"/>
      <c r="D6" s="57"/>
      <c r="E6" s="503"/>
      <c r="F6" s="503"/>
      <c r="G6" s="503"/>
      <c r="H6" s="503"/>
      <c r="I6" s="503"/>
      <c r="J6" s="57"/>
      <c r="K6" s="57"/>
      <c r="L6" s="57"/>
      <c r="M6" s="57"/>
      <c r="N6" s="57"/>
      <c r="O6" s="56"/>
      <c r="P6" s="56"/>
      <c r="Q6" s="56"/>
      <c r="R6" s="5">
        <f>IF(AND(J37&lt;&gt;"",I39&lt;&gt;""),I39-J37,"")</f>
        <v>140.06251869280817</v>
      </c>
      <c r="S6" s="56"/>
    </row>
    <row r="7" spans="1:87" ht="63.9" hidden="1" customHeight="1">
      <c r="A7" s="59"/>
      <c r="B7" s="59"/>
      <c r="C7" s="60"/>
      <c r="D7" s="60"/>
      <c r="E7" s="503"/>
      <c r="F7" s="503"/>
      <c r="G7" s="503"/>
      <c r="H7" s="503"/>
      <c r="I7" s="503"/>
      <c r="J7" s="57"/>
      <c r="K7" s="57"/>
      <c r="L7" s="57"/>
      <c r="M7" s="57"/>
      <c r="N7" s="57"/>
      <c r="O7" s="56"/>
      <c r="P7" s="56"/>
      <c r="Q7" s="56"/>
      <c r="R7" s="56"/>
      <c r="S7" s="56"/>
    </row>
    <row r="8" spans="1:87" ht="12.75" hidden="1" customHeight="1">
      <c r="A8" s="60"/>
      <c r="B8" s="60"/>
      <c r="C8" s="60"/>
      <c r="D8" s="60"/>
      <c r="E8" s="57"/>
      <c r="F8" s="57"/>
      <c r="G8" s="57"/>
      <c r="H8" s="57"/>
      <c r="I8" s="57"/>
      <c r="J8" s="57"/>
      <c r="K8" s="57"/>
      <c r="L8" s="57"/>
      <c r="M8" s="57"/>
      <c r="N8" s="57"/>
      <c r="O8" s="56"/>
      <c r="P8" s="56"/>
      <c r="Q8" s="56"/>
      <c r="R8" s="56"/>
      <c r="S8" s="56"/>
    </row>
    <row r="9" spans="1:87" ht="12.6" hidden="1" customHeight="1">
      <c r="A9" s="60"/>
      <c r="B9" s="60"/>
      <c r="C9" s="60"/>
      <c r="D9" s="60"/>
      <c r="E9" s="60"/>
      <c r="F9" s="60"/>
      <c r="G9" s="60"/>
      <c r="H9" s="60"/>
      <c r="I9" s="60"/>
      <c r="J9" s="60"/>
      <c r="K9" s="57"/>
      <c r="L9" s="60"/>
      <c r="M9" s="60"/>
      <c r="N9" s="60"/>
      <c r="O9" s="56"/>
      <c r="P9" s="56"/>
      <c r="Q9" s="56"/>
      <c r="R9" s="56"/>
      <c r="S9" s="56"/>
    </row>
    <row r="10" spans="1:87" s="63" customFormat="1" hidden="1">
      <c r="A10" s="61"/>
      <c r="B10" s="61"/>
      <c r="C10" s="61"/>
      <c r="D10" s="61"/>
      <c r="E10" s="61"/>
      <c r="F10" s="61"/>
      <c r="G10" s="61"/>
      <c r="H10" s="61"/>
      <c r="I10" s="61"/>
      <c r="J10" s="61"/>
      <c r="K10" s="62"/>
      <c r="L10" s="61"/>
      <c r="M10" s="61"/>
      <c r="N10" s="61"/>
      <c r="O10" s="61"/>
      <c r="P10" s="61"/>
      <c r="Q10" s="61"/>
      <c r="R10" s="61"/>
      <c r="S10" s="61"/>
    </row>
    <row r="11" spans="1:87" s="66" customFormat="1" ht="18.75" customHeight="1">
      <c r="A11" s="64"/>
      <c r="B11" s="64"/>
      <c r="C11" s="64"/>
      <c r="D11" s="64"/>
      <c r="E11" s="64"/>
      <c r="F11" s="64"/>
      <c r="G11" s="64"/>
      <c r="H11" s="64"/>
      <c r="I11" s="64"/>
      <c r="J11" s="64"/>
      <c r="K11" s="65"/>
      <c r="L11" s="64"/>
      <c r="M11" s="64"/>
      <c r="N11" s="64"/>
      <c r="O11" s="64"/>
      <c r="P11" s="64"/>
      <c r="Q11" s="64"/>
      <c r="R11" s="64"/>
      <c r="S11" s="64"/>
    </row>
    <row r="12" spans="1:87" s="66" customFormat="1" ht="25.5" customHeight="1" thickBot="1">
      <c r="A12" s="64"/>
      <c r="B12" s="67"/>
      <c r="C12" s="67"/>
      <c r="D12" s="67"/>
      <c r="E12" s="67"/>
      <c r="F12" s="67"/>
      <c r="G12" s="67"/>
      <c r="H12" s="67"/>
      <c r="I12" s="67"/>
      <c r="J12" s="67"/>
      <c r="K12" s="67"/>
      <c r="L12" s="64"/>
      <c r="M12" s="64"/>
      <c r="N12" s="64"/>
      <c r="O12" s="64"/>
      <c r="P12" s="64"/>
      <c r="Q12" s="64"/>
      <c r="R12" s="64"/>
      <c r="S12" s="64"/>
    </row>
    <row r="13" spans="1:87" s="66" customFormat="1" ht="38.1" customHeight="1" thickTop="1" thickBot="1">
      <c r="A13" s="68"/>
      <c r="B13" s="67"/>
      <c r="C13" s="67"/>
      <c r="D13" s="67"/>
      <c r="E13" s="67"/>
      <c r="F13" s="67"/>
      <c r="G13" s="67"/>
      <c r="H13" s="67"/>
      <c r="I13" s="67"/>
      <c r="J13" s="67"/>
      <c r="K13" s="67"/>
      <c r="L13" s="69"/>
      <c r="M13" s="70" t="s">
        <v>22</v>
      </c>
      <c r="N13" s="71" t="s">
        <v>23</v>
      </c>
      <c r="O13" s="72" t="s">
        <v>24</v>
      </c>
      <c r="P13" s="73"/>
      <c r="Q13" s="64"/>
      <c r="R13" s="64"/>
      <c r="S13" s="64"/>
    </row>
    <row r="14" spans="1:87" s="66" customFormat="1" ht="25.8" thickTop="1" thickBot="1">
      <c r="A14" s="68"/>
      <c r="B14" s="525" t="s">
        <v>13</v>
      </c>
      <c r="C14" s="526"/>
      <c r="D14" s="526"/>
      <c r="E14" s="526"/>
      <c r="F14" s="527"/>
      <c r="G14" s="528" t="s">
        <v>25</v>
      </c>
      <c r="H14" s="529"/>
      <c r="I14" s="529"/>
      <c r="J14" s="529"/>
      <c r="K14" s="530"/>
      <c r="L14" s="69"/>
      <c r="M14" s="74"/>
      <c r="N14" s="75"/>
      <c r="O14" s="76"/>
      <c r="P14" s="73"/>
      <c r="Q14" s="64"/>
      <c r="R14" s="64"/>
      <c r="S14" s="64"/>
    </row>
    <row r="15" spans="1:87" s="66" customFormat="1" ht="19.5" customHeight="1" thickTop="1" thickBot="1">
      <c r="A15" s="68"/>
      <c r="B15" s="77" t="s">
        <v>26</v>
      </c>
      <c r="C15" s="78" t="s">
        <v>27</v>
      </c>
      <c r="D15" s="79">
        <v>2</v>
      </c>
      <c r="E15" s="78">
        <f>IF(D15&lt;&gt;"", D15, "")</f>
        <v>2</v>
      </c>
      <c r="F15" s="80" t="s">
        <v>28</v>
      </c>
      <c r="G15" s="531" t="s">
        <v>29</v>
      </c>
      <c r="H15" s="532"/>
      <c r="I15" s="532"/>
      <c r="J15" s="532"/>
      <c r="K15" s="533"/>
      <c r="L15" s="69"/>
      <c r="M15" s="81" t="str">
        <f>IF(J22&gt;0, 1,"")</f>
        <v/>
      </c>
      <c r="N15" s="82">
        <f>0</f>
        <v>0</v>
      </c>
      <c r="O15" s="83">
        <f>0</f>
        <v>0</v>
      </c>
      <c r="P15" s="73"/>
      <c r="Q15" s="64"/>
      <c r="R15" s="64"/>
      <c r="S15" s="64"/>
    </row>
    <row r="16" spans="1:87" s="66" customFormat="1" ht="21" thickTop="1">
      <c r="A16" s="64"/>
      <c r="B16" s="84" t="s">
        <v>280</v>
      </c>
      <c r="C16" s="85" t="s">
        <v>30</v>
      </c>
      <c r="D16" s="86">
        <v>1</v>
      </c>
      <c r="E16" s="85">
        <f t="shared" ref="E16:E17" si="0">IF(D16&lt;&gt;"", D16, "")</f>
        <v>1</v>
      </c>
      <c r="F16" s="87" t="s">
        <v>28</v>
      </c>
      <c r="G16" s="88" t="s">
        <v>31</v>
      </c>
      <c r="H16" s="89" t="s">
        <v>267</v>
      </c>
      <c r="I16" s="90">
        <v>4.0176523731557902E-3</v>
      </c>
      <c r="J16" s="91">
        <f>IF(I16&lt;&gt;"",I16,"")</f>
        <v>4.0176523731557902E-3</v>
      </c>
      <c r="K16" s="92" t="s">
        <v>33</v>
      </c>
      <c r="L16" s="64"/>
      <c r="M16" s="93" t="str">
        <f t="shared" ref="M16:M30" si="1">IF(M15&lt;&gt;"",IF(J$22&gt;=M15+1,M15+1,""),"")</f>
        <v/>
      </c>
      <c r="N16" s="82" t="str">
        <f>IF(M16&lt;&gt;"",IF(AND($E$16&lt;&gt;"",$J$22&lt;&gt;""),(100*$E$16*SIN(2*PI()/$J$22*(M16-$M$15))),""),"")</f>
        <v/>
      </c>
      <c r="O16" s="83" t="str">
        <f>IF(M16&lt;&gt;"",IF(AND($E$16&lt;&gt;"",$J$22&lt;&gt;""),(100*$E$16*SIN(2*PI()/$J$22*(M16-$M$15)))^2,""),"")</f>
        <v/>
      </c>
      <c r="P16" s="64"/>
      <c r="Q16" s="64"/>
      <c r="R16" s="64"/>
      <c r="S16" s="64"/>
      <c r="CI16" s="66">
        <v>-6.8349140746364693E+71</v>
      </c>
    </row>
    <row r="17" spans="1:40" s="66" customFormat="1" ht="21" thickBot="1">
      <c r="A17" s="64"/>
      <c r="B17" s="94" t="s">
        <v>34</v>
      </c>
      <c r="C17" s="95" t="s">
        <v>35</v>
      </c>
      <c r="D17" s="96">
        <v>5</v>
      </c>
      <c r="E17" s="95">
        <f t="shared" si="0"/>
        <v>5</v>
      </c>
      <c r="F17" s="97" t="s">
        <v>36</v>
      </c>
      <c r="G17" s="98" t="s">
        <v>281</v>
      </c>
      <c r="H17" s="99" t="s">
        <v>268</v>
      </c>
      <c r="I17" s="100"/>
      <c r="J17" s="101">
        <f>IF(AND(E16&lt;&gt;"",J16&lt;&gt;""),E16*100/J16,"")</f>
        <v>24890.157413358262</v>
      </c>
      <c r="K17" s="92" t="s">
        <v>11</v>
      </c>
      <c r="L17" s="64"/>
      <c r="M17" s="93" t="str">
        <f t="shared" si="1"/>
        <v/>
      </c>
      <c r="N17" s="82" t="str">
        <f t="shared" ref="N17:N30" si="2">IF(M17&lt;&gt;"",IF(AND($E$16&lt;&gt;"",$J$22&lt;&gt;""),(100*$E$16*SIN(2*PI()/$J$22*(M17-$M$15))),""),"")</f>
        <v/>
      </c>
      <c r="O17" s="83" t="str">
        <f t="shared" ref="O17:O30" si="3">IF(M17&lt;&gt;"",IF(AND($E$16&lt;&gt;"",$J$22&lt;&gt;""),(100*$E$16*SIN(2*PI()/$J$22*(M17-$M$15)))^2,""),"")</f>
        <v/>
      </c>
      <c r="P17" s="64"/>
      <c r="Q17" s="64"/>
      <c r="R17" s="64"/>
      <c r="S17" s="64"/>
    </row>
    <row r="18" spans="1:40" s="66" customFormat="1" ht="25.8" thickTop="1" thickBot="1">
      <c r="A18" s="64"/>
      <c r="B18" s="531" t="s">
        <v>37</v>
      </c>
      <c r="C18" s="532"/>
      <c r="D18" s="532"/>
      <c r="E18" s="532"/>
      <c r="F18" s="533"/>
      <c r="G18" s="88" t="s">
        <v>282</v>
      </c>
      <c r="H18" s="99" t="s">
        <v>269</v>
      </c>
      <c r="I18" s="100"/>
      <c r="J18" s="91">
        <f>IF(AND(E16&lt;&gt;"",J16&lt;&gt;""),2*PI()*E16*100*J16,"")</f>
        <v>2.5243654360367658</v>
      </c>
      <c r="K18" s="92" t="s">
        <v>39</v>
      </c>
      <c r="L18" s="64"/>
      <c r="M18" s="93" t="str">
        <f t="shared" si="1"/>
        <v/>
      </c>
      <c r="N18" s="82" t="str">
        <f t="shared" si="2"/>
        <v/>
      </c>
      <c r="O18" s="83" t="str">
        <f t="shared" si="3"/>
        <v/>
      </c>
      <c r="P18" s="64"/>
      <c r="Q18" s="64"/>
      <c r="R18" s="64"/>
      <c r="S18" s="64"/>
    </row>
    <row r="19" spans="1:40" s="66" customFormat="1" ht="21.6" thickTop="1" thickBot="1">
      <c r="A19" s="64"/>
      <c r="B19" s="102" t="s">
        <v>283</v>
      </c>
      <c r="C19" s="103" t="s">
        <v>40</v>
      </c>
      <c r="D19" s="103"/>
      <c r="E19" s="104">
        <f>IF(AND(E16&lt;&gt;"",E15&lt;&gt;""),2*E16*E15,"")</f>
        <v>4</v>
      </c>
      <c r="F19" s="105" t="s">
        <v>41</v>
      </c>
      <c r="G19" s="88" t="s">
        <v>284</v>
      </c>
      <c r="H19" s="99" t="s">
        <v>270</v>
      </c>
      <c r="I19" s="100"/>
      <c r="J19" s="91">
        <f>IF(J18&lt;&gt;"",PI()*(E16*100)^3*J16,"")</f>
        <v>12621.827180183827</v>
      </c>
      <c r="K19" s="92" t="s">
        <v>42</v>
      </c>
      <c r="L19" s="64"/>
      <c r="M19" s="93" t="str">
        <f t="shared" si="1"/>
        <v/>
      </c>
      <c r="N19" s="82" t="str">
        <f t="shared" si="2"/>
        <v/>
      </c>
      <c r="O19" s="83" t="str">
        <f t="shared" si="3"/>
        <v/>
      </c>
      <c r="P19" s="64"/>
      <c r="Q19" s="64"/>
      <c r="R19" s="64"/>
      <c r="S19" s="64"/>
    </row>
    <row r="20" spans="1:40" s="66" customFormat="1" ht="25.8" thickTop="1" thickBot="1">
      <c r="A20" s="64"/>
      <c r="B20" s="102" t="s">
        <v>285</v>
      </c>
      <c r="C20" s="103" t="s">
        <v>43</v>
      </c>
      <c r="D20" s="103"/>
      <c r="E20" s="104">
        <f>IF(AND(E15&lt;&gt;"",E16&lt;&gt;""),2*PI()*E15*E16,"")</f>
        <v>12.566370614359172</v>
      </c>
      <c r="F20" s="105" t="s">
        <v>41</v>
      </c>
      <c r="G20" s="531" t="s">
        <v>44</v>
      </c>
      <c r="H20" s="532"/>
      <c r="I20" s="532"/>
      <c r="J20" s="532"/>
      <c r="K20" s="533"/>
      <c r="L20" s="64"/>
      <c r="M20" s="93" t="str">
        <f t="shared" si="1"/>
        <v/>
      </c>
      <c r="N20" s="82" t="str">
        <f t="shared" si="2"/>
        <v/>
      </c>
      <c r="O20" s="83" t="str">
        <f t="shared" si="3"/>
        <v/>
      </c>
      <c r="P20" s="64"/>
      <c r="Q20" s="64"/>
      <c r="R20" s="64"/>
      <c r="S20" s="64"/>
    </row>
    <row r="21" spans="1:40" s="66" customFormat="1" ht="25.8" thickTop="1" thickBot="1">
      <c r="A21" s="64"/>
      <c r="B21" s="531" t="s">
        <v>45</v>
      </c>
      <c r="C21" s="532"/>
      <c r="D21" s="532"/>
      <c r="E21" s="532"/>
      <c r="F21" s="533"/>
      <c r="G21" s="106"/>
      <c r="H21" s="534" t="s">
        <v>46</v>
      </c>
      <c r="I21" s="535"/>
      <c r="J21" s="535"/>
      <c r="K21" s="536"/>
      <c r="L21" s="64"/>
      <c r="M21" s="93" t="str">
        <f t="shared" si="1"/>
        <v/>
      </c>
      <c r="N21" s="82" t="str">
        <f t="shared" si="2"/>
        <v/>
      </c>
      <c r="O21" s="83" t="str">
        <f t="shared" si="3"/>
        <v/>
      </c>
      <c r="P21" s="64"/>
      <c r="Q21" s="64"/>
      <c r="R21" s="64"/>
      <c r="S21" s="64"/>
    </row>
    <row r="22" spans="1:40" s="66" customFormat="1" ht="18.75" customHeight="1" thickTop="1">
      <c r="A22" s="64"/>
      <c r="B22" s="102"/>
      <c r="C22" s="107" t="s">
        <v>45</v>
      </c>
      <c r="D22" s="107"/>
      <c r="E22" s="108" t="s">
        <v>47</v>
      </c>
      <c r="F22" s="109"/>
      <c r="G22" s="88" t="s">
        <v>48</v>
      </c>
      <c r="H22" s="99" t="s">
        <v>271</v>
      </c>
      <c r="I22" s="110">
        <v>8</v>
      </c>
      <c r="J22" s="111">
        <f>IF(AND(J18&gt;J34, J19&gt;J35),0,IF(I22&lt;&gt;"",IF(I22&lt;4,4,IF(I22&gt;16,16,I22)),0))</f>
        <v>0</v>
      </c>
      <c r="K22" s="92" t="s">
        <v>11</v>
      </c>
      <c r="L22" s="64"/>
      <c r="M22" s="93" t="str">
        <f t="shared" si="1"/>
        <v/>
      </c>
      <c r="N22" s="82" t="str">
        <f t="shared" si="2"/>
        <v/>
      </c>
      <c r="O22" s="83" t="str">
        <f t="shared" si="3"/>
        <v/>
      </c>
      <c r="P22" s="64"/>
      <c r="Q22" s="64"/>
      <c r="R22" s="64"/>
      <c r="S22" s="64"/>
    </row>
    <row r="23" spans="1:40" s="66" customFormat="1" ht="18.75" customHeight="1">
      <c r="A23" s="64"/>
      <c r="B23" s="102" t="s">
        <v>49</v>
      </c>
      <c r="C23" s="107" t="s">
        <v>50</v>
      </c>
      <c r="D23" s="107"/>
      <c r="E23" s="108">
        <f>VLOOKUP($E$22,Constants!A18:G27,2,FALSE)</f>
        <v>2800</v>
      </c>
      <c r="F23" s="92" t="s">
        <v>51</v>
      </c>
      <c r="G23" s="88" t="s">
        <v>286</v>
      </c>
      <c r="H23" s="99" t="s">
        <v>52</v>
      </c>
      <c r="I23" s="110">
        <v>5</v>
      </c>
      <c r="J23" s="112" t="str">
        <f>IF(J22&gt;0, IF(I23&lt;&gt;"", I23, ""),"")</f>
        <v/>
      </c>
      <c r="K23" s="92" t="s">
        <v>39</v>
      </c>
      <c r="L23" s="64"/>
      <c r="M23" s="93" t="str">
        <f t="shared" si="1"/>
        <v/>
      </c>
      <c r="N23" s="82" t="str">
        <f t="shared" si="2"/>
        <v/>
      </c>
      <c r="O23" s="83" t="str">
        <f t="shared" si="3"/>
        <v/>
      </c>
      <c r="P23" s="64"/>
      <c r="Q23" s="64"/>
      <c r="R23" s="64"/>
      <c r="S23" s="64"/>
    </row>
    <row r="24" spans="1:40" s="66" customFormat="1" ht="18.75" customHeight="1">
      <c r="A24" s="64"/>
      <c r="B24" s="102" t="s">
        <v>287</v>
      </c>
      <c r="C24" s="107" t="s">
        <v>53</v>
      </c>
      <c r="D24" s="107"/>
      <c r="E24" s="108">
        <f>VLOOKUP($E$22,Constants!A18:G27,3,FALSE)</f>
        <v>524</v>
      </c>
      <c r="F24" s="92" t="s">
        <v>54</v>
      </c>
      <c r="G24" s="88" t="s">
        <v>288</v>
      </c>
      <c r="H24" s="99" t="s">
        <v>55</v>
      </c>
      <c r="I24" s="100"/>
      <c r="J24" s="91" t="str">
        <f>IF(J23&lt;&gt;"",J23*SUM(O15:O30),"")</f>
        <v/>
      </c>
      <c r="K24" s="92" t="s">
        <v>42</v>
      </c>
      <c r="L24" s="64"/>
      <c r="M24" s="93" t="str">
        <f t="shared" si="1"/>
        <v/>
      </c>
      <c r="N24" s="82" t="str">
        <f t="shared" si="2"/>
        <v/>
      </c>
      <c r="O24" s="83" t="str">
        <f t="shared" si="3"/>
        <v/>
      </c>
      <c r="P24" s="64"/>
      <c r="Q24" s="113">
        <f>IF(AND(E37&lt;&gt;"",J18&lt;&gt;""),(E24/(E37/J18/100)-1)*100000,"")</f>
        <v>7899999.9999999953</v>
      </c>
      <c r="R24" s="64"/>
      <c r="S24" s="64"/>
    </row>
    <row r="25" spans="1:40" s="66" customFormat="1" ht="18.75" customHeight="1">
      <c r="A25" s="64"/>
      <c r="B25" s="102" t="s">
        <v>56</v>
      </c>
      <c r="C25" s="107" t="s">
        <v>57</v>
      </c>
      <c r="D25" s="107"/>
      <c r="E25" s="108">
        <f>VLOOKUP($E$22,Constants!A18:G27,4,FALSE)</f>
        <v>71</v>
      </c>
      <c r="F25" s="92" t="s">
        <v>58</v>
      </c>
      <c r="G25" s="106"/>
      <c r="H25" s="114"/>
      <c r="I25" s="114"/>
      <c r="J25" s="115"/>
      <c r="K25" s="116"/>
      <c r="L25" s="64"/>
      <c r="M25" s="93" t="str">
        <f t="shared" si="1"/>
        <v/>
      </c>
      <c r="N25" s="82" t="str">
        <f t="shared" si="2"/>
        <v/>
      </c>
      <c r="O25" s="83" t="str">
        <f t="shared" si="3"/>
        <v/>
      </c>
      <c r="P25" s="64"/>
      <c r="Q25" s="113">
        <f>IF(AND(E38&lt;&gt;"",J18&lt;&gt;""),(E26/(E38/J18/100)-1)*100000,"")</f>
        <v>7672380.291464258</v>
      </c>
      <c r="R25" s="64"/>
      <c r="S25" s="64"/>
    </row>
    <row r="26" spans="1:40" s="66" customFormat="1" ht="18.75" customHeight="1">
      <c r="A26" s="64"/>
      <c r="B26" s="102" t="s">
        <v>289</v>
      </c>
      <c r="C26" s="107" t="s">
        <v>59</v>
      </c>
      <c r="D26" s="107"/>
      <c r="E26" s="108">
        <f>VLOOKUP($E$22,Constants!A18:G27,5,FALSE)</f>
        <v>448</v>
      </c>
      <c r="F26" s="92" t="s">
        <v>54</v>
      </c>
      <c r="G26" s="106"/>
      <c r="H26" s="103"/>
      <c r="I26" s="103"/>
      <c r="J26" s="103"/>
      <c r="K26" s="117"/>
      <c r="L26" s="64"/>
      <c r="M26" s="93" t="str">
        <f t="shared" si="1"/>
        <v/>
      </c>
      <c r="N26" s="82" t="str">
        <f t="shared" si="2"/>
        <v/>
      </c>
      <c r="O26" s="83" t="str">
        <f t="shared" si="3"/>
        <v/>
      </c>
      <c r="P26" s="64"/>
      <c r="Q26" s="64"/>
      <c r="R26" s="64"/>
      <c r="S26" s="64"/>
    </row>
    <row r="27" spans="1:40" ht="18.75" customHeight="1">
      <c r="A27" s="64"/>
      <c r="B27" s="102" t="s">
        <v>60</v>
      </c>
      <c r="C27" s="107" t="s">
        <v>61</v>
      </c>
      <c r="D27" s="107"/>
      <c r="E27" s="108">
        <f>VLOOKUP($E$22,Constants!A18:G27,6,FALSE)</f>
        <v>2.4000000000000001E-5</v>
      </c>
      <c r="F27" s="92" t="s">
        <v>62</v>
      </c>
      <c r="G27" s="88" t="s">
        <v>290</v>
      </c>
      <c r="H27" s="118" t="s">
        <v>63</v>
      </c>
      <c r="I27" s="119"/>
      <c r="J27" s="120">
        <f>IF(J18&lt;&gt;"",IF(J23&lt;&gt;"",J18+J22*J23,J18),IF(J23&lt;&gt;"",J22*J23,""))</f>
        <v>2.5243654360367658</v>
      </c>
      <c r="K27" s="92" t="s">
        <v>39</v>
      </c>
      <c r="L27" s="64"/>
      <c r="M27" s="93" t="str">
        <f t="shared" si="1"/>
        <v/>
      </c>
      <c r="N27" s="82" t="str">
        <f t="shared" si="2"/>
        <v/>
      </c>
      <c r="O27" s="83" t="str">
        <f t="shared" si="3"/>
        <v/>
      </c>
      <c r="P27" s="64"/>
      <c r="Q27" s="64"/>
      <c r="R27" s="64"/>
      <c r="S27" s="64"/>
      <c r="T27" s="66"/>
      <c r="U27" s="66"/>
      <c r="V27" s="66"/>
      <c r="W27" s="66"/>
      <c r="X27" s="66"/>
      <c r="Y27" s="66"/>
      <c r="Z27" s="66"/>
      <c r="AA27" s="66"/>
      <c r="AB27" s="66"/>
      <c r="AC27" s="66"/>
      <c r="AD27" s="66"/>
      <c r="AE27" s="66"/>
      <c r="AF27" s="66"/>
      <c r="AG27" s="66"/>
      <c r="AH27" s="66"/>
      <c r="AI27" s="66"/>
      <c r="AJ27" s="66"/>
      <c r="AK27" s="66"/>
      <c r="AL27" s="66"/>
      <c r="AM27" s="66"/>
      <c r="AN27" s="66"/>
    </row>
    <row r="28" spans="1:40" ht="18.75" customHeight="1" thickBot="1">
      <c r="A28" s="64"/>
      <c r="B28" s="121" t="s">
        <v>64</v>
      </c>
      <c r="C28" s="122" t="s">
        <v>65</v>
      </c>
      <c r="D28" s="122"/>
      <c r="E28" s="123">
        <f>VLOOKUP($E$22,Constants!A18:G27,7,FALSE)</f>
        <v>0.33</v>
      </c>
      <c r="F28" s="124" t="s">
        <v>11</v>
      </c>
      <c r="G28" s="125" t="s">
        <v>291</v>
      </c>
      <c r="H28" s="126" t="s">
        <v>272</v>
      </c>
      <c r="I28" s="127"/>
      <c r="J28" s="128">
        <f>IF(J19&lt;&gt;"",IF(J24&lt;&gt;"",J19+J24,J19),IF(J24&lt;&gt;"",J24,""))</f>
        <v>12621.827180183827</v>
      </c>
      <c r="K28" s="124" t="s">
        <v>42</v>
      </c>
      <c r="L28" s="64"/>
      <c r="M28" s="93" t="str">
        <f t="shared" si="1"/>
        <v/>
      </c>
      <c r="N28" s="82" t="str">
        <f t="shared" si="2"/>
        <v/>
      </c>
      <c r="O28" s="83" t="str">
        <f t="shared" si="3"/>
        <v/>
      </c>
      <c r="P28" s="64"/>
      <c r="Q28" s="64"/>
      <c r="R28" s="64"/>
      <c r="S28" s="64"/>
      <c r="T28" s="66"/>
      <c r="U28" s="66"/>
      <c r="V28" s="66"/>
      <c r="W28" s="66"/>
      <c r="X28" s="66"/>
      <c r="Y28" s="66"/>
      <c r="Z28" s="66"/>
      <c r="AA28" s="66"/>
      <c r="AB28" s="66"/>
      <c r="AC28" s="66"/>
      <c r="AD28" s="66"/>
      <c r="AE28" s="66"/>
      <c r="AF28" s="66"/>
      <c r="AG28" s="66"/>
      <c r="AH28" s="66"/>
      <c r="AI28" s="66"/>
      <c r="AJ28" s="66"/>
      <c r="AK28" s="66"/>
      <c r="AL28" s="66"/>
      <c r="AM28" s="66"/>
      <c r="AN28" s="66"/>
    </row>
    <row r="29" spans="1:40" ht="18.75" customHeight="1" thickTop="1">
      <c r="A29" s="64"/>
      <c r="B29" s="64"/>
      <c r="C29" s="56"/>
      <c r="D29" s="56"/>
      <c r="E29" s="56"/>
      <c r="F29" s="56"/>
      <c r="G29" s="56"/>
      <c r="H29" s="6"/>
      <c r="I29" s="6"/>
      <c r="J29" s="6"/>
      <c r="K29" s="65"/>
      <c r="L29" s="64"/>
      <c r="M29" s="93" t="str">
        <f t="shared" si="1"/>
        <v/>
      </c>
      <c r="N29" s="82" t="str">
        <f t="shared" si="2"/>
        <v/>
      </c>
      <c r="O29" s="83" t="str">
        <f t="shared" si="3"/>
        <v/>
      </c>
      <c r="P29" s="64"/>
      <c r="Q29" s="64"/>
      <c r="R29" s="64"/>
      <c r="S29" s="64"/>
      <c r="T29" s="66"/>
      <c r="U29" s="66"/>
      <c r="V29" s="66"/>
      <c r="W29" s="66"/>
      <c r="X29" s="66"/>
      <c r="Y29" s="66"/>
      <c r="Z29" s="66"/>
      <c r="AA29" s="66"/>
      <c r="AB29" s="66"/>
      <c r="AC29" s="66"/>
      <c r="AD29" s="66"/>
      <c r="AE29" s="66"/>
      <c r="AF29" s="66"/>
      <c r="AG29" s="66"/>
      <c r="AH29" s="66"/>
      <c r="AI29" s="66"/>
      <c r="AJ29" s="66"/>
      <c r="AK29" s="66"/>
      <c r="AL29" s="66"/>
      <c r="AM29" s="66"/>
      <c r="AN29" s="66"/>
    </row>
    <row r="30" spans="1:40" ht="18.75" customHeight="1" thickBot="1">
      <c r="A30" s="64"/>
      <c r="B30" s="64"/>
      <c r="C30" s="64"/>
      <c r="D30" s="64"/>
      <c r="E30" s="64"/>
      <c r="F30" s="64"/>
      <c r="G30" s="64"/>
      <c r="H30" s="129"/>
      <c r="I30" s="129"/>
      <c r="J30" s="129"/>
      <c r="K30" s="65"/>
      <c r="L30" s="64"/>
      <c r="M30" s="130" t="str">
        <f t="shared" si="1"/>
        <v/>
      </c>
      <c r="N30" s="131" t="str">
        <f t="shared" si="2"/>
        <v/>
      </c>
      <c r="O30" s="132" t="str">
        <f t="shared" si="3"/>
        <v/>
      </c>
      <c r="P30" s="64"/>
      <c r="Q30" s="64"/>
      <c r="R30" s="64"/>
      <c r="S30" s="64"/>
      <c r="T30" s="66"/>
      <c r="U30" s="66"/>
      <c r="V30" s="66"/>
      <c r="W30" s="66"/>
      <c r="X30" s="66"/>
      <c r="Y30" s="66"/>
      <c r="Z30" s="66"/>
      <c r="AA30" s="66"/>
      <c r="AB30" s="66"/>
      <c r="AC30" s="66"/>
      <c r="AD30" s="66"/>
      <c r="AE30" s="66"/>
      <c r="AF30" s="66"/>
      <c r="AG30" s="66"/>
      <c r="AH30" s="66"/>
      <c r="AI30" s="66"/>
      <c r="AJ30" s="66"/>
      <c r="AK30" s="66"/>
      <c r="AL30" s="66"/>
      <c r="AM30" s="66"/>
      <c r="AN30" s="66"/>
    </row>
    <row r="31" spans="1:40" ht="18.75" customHeight="1" thickTop="1" thickBot="1">
      <c r="A31" s="64"/>
      <c r="B31" s="133"/>
      <c r="C31" s="133"/>
      <c r="D31" s="133"/>
      <c r="E31" s="133"/>
      <c r="F31" s="133"/>
      <c r="G31" s="133"/>
      <c r="H31" s="133"/>
      <c r="I31" s="133"/>
      <c r="J31" s="133"/>
      <c r="K31" s="134"/>
      <c r="L31" s="64"/>
      <c r="M31" s="135"/>
      <c r="N31" s="136"/>
      <c r="O31" s="136"/>
      <c r="P31" s="64"/>
      <c r="Q31" s="64"/>
      <c r="R31" s="64"/>
      <c r="S31" s="64"/>
      <c r="T31" s="66"/>
      <c r="U31" s="66"/>
      <c r="V31" s="66"/>
      <c r="W31" s="66"/>
      <c r="X31" s="66"/>
      <c r="Y31" s="66"/>
      <c r="Z31" s="66"/>
      <c r="AA31" s="66"/>
      <c r="AB31" s="66"/>
      <c r="AC31" s="66"/>
      <c r="AD31" s="66"/>
      <c r="AE31" s="66"/>
      <c r="AF31" s="66"/>
      <c r="AG31" s="66"/>
      <c r="AH31" s="66"/>
      <c r="AI31" s="66"/>
      <c r="AJ31" s="66"/>
      <c r="AK31" s="66"/>
      <c r="AL31" s="66"/>
      <c r="AM31" s="66"/>
      <c r="AN31" s="66"/>
    </row>
    <row r="32" spans="1:40" s="140" customFormat="1" ht="38.1" customHeight="1" thickTop="1" thickBot="1">
      <c r="A32" s="137"/>
      <c r="B32" s="537" t="s">
        <v>66</v>
      </c>
      <c r="C32" s="537"/>
      <c r="D32" s="537"/>
      <c r="E32" s="537"/>
      <c r="F32" s="537"/>
      <c r="G32" s="537"/>
      <c r="H32" s="537"/>
      <c r="I32" s="537"/>
      <c r="J32" s="537"/>
      <c r="K32" s="538"/>
      <c r="L32" s="138"/>
      <c r="M32" s="516" t="s">
        <v>67</v>
      </c>
      <c r="N32" s="517"/>
      <c r="O32" s="517"/>
      <c r="P32" s="517"/>
      <c r="Q32" s="517"/>
      <c r="R32" s="518"/>
      <c r="S32" s="139"/>
    </row>
    <row r="33" spans="1:40" ht="24.75" customHeight="1" thickBot="1">
      <c r="A33" s="141"/>
      <c r="B33" s="142"/>
      <c r="C33" s="143" t="s">
        <v>68</v>
      </c>
      <c r="D33" s="143"/>
      <c r="E33" s="144"/>
      <c r="F33" s="142"/>
      <c r="G33" s="145"/>
      <c r="H33" s="146" t="s">
        <v>69</v>
      </c>
      <c r="I33" s="147"/>
      <c r="J33" s="148"/>
      <c r="K33" s="149"/>
      <c r="L33" s="64"/>
      <c r="M33" s="150" t="s">
        <v>70</v>
      </c>
      <c r="N33" s="151"/>
      <c r="O33" s="152"/>
      <c r="P33" s="153" t="s">
        <v>71</v>
      </c>
      <c r="Q33" s="153"/>
      <c r="R33" s="154"/>
      <c r="S33" s="64"/>
      <c r="T33" s="66"/>
      <c r="U33" s="66"/>
      <c r="V33" s="66"/>
      <c r="W33" s="66"/>
      <c r="X33" s="66"/>
      <c r="Y33" s="66"/>
      <c r="Z33" s="66"/>
      <c r="AA33" s="66"/>
      <c r="AB33" s="66"/>
      <c r="AC33" s="66"/>
      <c r="AD33" s="66"/>
      <c r="AE33" s="66"/>
      <c r="AF33" s="66"/>
      <c r="AG33" s="66"/>
      <c r="AH33" s="66"/>
      <c r="AI33" s="66"/>
      <c r="AJ33" s="66"/>
      <c r="AK33" s="66"/>
      <c r="AL33" s="66"/>
      <c r="AM33" s="66"/>
      <c r="AN33" s="66"/>
    </row>
    <row r="34" spans="1:40" ht="18.75" customHeight="1">
      <c r="A34" s="141"/>
      <c r="B34" s="155" t="s">
        <v>292</v>
      </c>
      <c r="C34" s="156" t="s">
        <v>72</v>
      </c>
      <c r="D34" s="157"/>
      <c r="E34" s="158">
        <f>IF(AND(E17&lt;&gt;"",'General Inputs'!F20&lt;&gt;""),Cylinder!E17*Earth_Mu/(Earth_Radius)^2*1000*'General Inputs'!F20,"")</f>
        <v>440.9224961610887</v>
      </c>
      <c r="F34" s="159" t="s">
        <v>48</v>
      </c>
      <c r="G34" s="160" t="s">
        <v>293</v>
      </c>
      <c r="H34" s="161" t="s">
        <v>73</v>
      </c>
      <c r="I34" s="162"/>
      <c r="J34" s="163">
        <f>IF(AND(E15&lt;&gt;"",E17&lt;&gt;"",E25&lt;&gt;"",J36&lt;&gt;""),(J36*4)^2*E17*E15/(E25*10^9)*100*100,"")</f>
        <v>9.014084507042254E-3</v>
      </c>
      <c r="K34" s="164" t="s">
        <v>39</v>
      </c>
      <c r="L34" s="64"/>
      <c r="M34" s="165" t="s">
        <v>8</v>
      </c>
      <c r="N34" s="166" t="s">
        <v>74</v>
      </c>
      <c r="O34" s="167" t="s">
        <v>75</v>
      </c>
      <c r="P34" s="168" t="s">
        <v>8</v>
      </c>
      <c r="Q34" s="169" t="s">
        <v>74</v>
      </c>
      <c r="R34" s="170" t="s">
        <v>75</v>
      </c>
      <c r="S34" s="64"/>
      <c r="T34" s="66"/>
      <c r="U34" s="66"/>
      <c r="V34" s="66"/>
      <c r="W34" s="66"/>
      <c r="X34" s="66"/>
      <c r="Y34" s="66"/>
      <c r="Z34" s="66"/>
      <c r="AA34" s="66"/>
      <c r="AB34" s="66"/>
      <c r="AC34" s="66"/>
      <c r="AD34" s="66"/>
      <c r="AE34" s="66"/>
      <c r="AF34" s="66"/>
      <c r="AG34" s="66"/>
      <c r="AH34" s="66"/>
      <c r="AI34" s="66"/>
      <c r="AJ34" s="66"/>
      <c r="AK34" s="66"/>
      <c r="AL34" s="66"/>
      <c r="AM34" s="66"/>
      <c r="AN34" s="66"/>
    </row>
    <row r="35" spans="1:40" ht="18.75" customHeight="1" thickBot="1">
      <c r="A35" s="141"/>
      <c r="B35" s="155" t="s">
        <v>294</v>
      </c>
      <c r="C35" s="157" t="s">
        <v>76</v>
      </c>
      <c r="D35" s="157"/>
      <c r="E35" s="158">
        <f>IF(AND(E15&lt;&gt;"",E17&lt;&gt;"",'General Inputs'!F21&lt;&gt;""),Cylinder!E17*Earth_Mu/(Earth_Radius)^2*1000*Cylinder!E15/2*'General Inputs'!F21,"")</f>
        <v>440.9224961610887</v>
      </c>
      <c r="F35" s="159" t="s">
        <v>77</v>
      </c>
      <c r="G35" s="160" t="s">
        <v>295</v>
      </c>
      <c r="H35" s="171" t="s">
        <v>78</v>
      </c>
      <c r="I35" s="172"/>
      <c r="J35" s="163">
        <f>IF(AND(E15&lt;&gt;"",E17&lt;&gt;"",E25&lt;&gt;"",J37&lt;&gt;""),(J37/0.56)^2*E17*E15^3/(E25*10^9)*100^4,"")</f>
        <v>2807.0206956021839</v>
      </c>
      <c r="K35" s="164" t="s">
        <v>42</v>
      </c>
      <c r="L35" s="64"/>
      <c r="M35" s="173" t="s">
        <v>79</v>
      </c>
      <c r="N35" s="174" t="s">
        <v>80</v>
      </c>
      <c r="O35" s="175" t="s">
        <v>81</v>
      </c>
      <c r="P35" s="175" t="s">
        <v>79</v>
      </c>
      <c r="Q35" s="174" t="s">
        <v>80</v>
      </c>
      <c r="R35" s="176" t="s">
        <v>81</v>
      </c>
      <c r="S35" s="64"/>
      <c r="T35" s="66"/>
      <c r="U35" s="66"/>
      <c r="V35" s="66"/>
      <c r="W35" s="66"/>
      <c r="X35" s="66"/>
      <c r="Y35" s="66"/>
      <c r="Z35" s="66"/>
      <c r="AA35" s="66"/>
      <c r="AB35" s="66"/>
      <c r="AC35" s="66"/>
      <c r="AD35" s="66"/>
      <c r="AE35" s="66"/>
      <c r="AF35" s="66"/>
      <c r="AG35" s="66"/>
      <c r="AH35" s="66"/>
      <c r="AI35" s="66"/>
      <c r="AJ35" s="66"/>
      <c r="AK35" s="66"/>
      <c r="AL35" s="66"/>
      <c r="AM35" s="66"/>
      <c r="AN35" s="66"/>
    </row>
    <row r="36" spans="1:40" ht="18.75" customHeight="1">
      <c r="A36" s="141"/>
      <c r="B36" s="155" t="s">
        <v>296</v>
      </c>
      <c r="C36" s="157" t="s">
        <v>82</v>
      </c>
      <c r="D36" s="157"/>
      <c r="E36" s="158">
        <f>IF(AND(E16&lt;&gt;"",E34&lt;&gt;"",E35&lt;&gt;""),E34+2*E35/E16,"")</f>
        <v>1322.7674884832661</v>
      </c>
      <c r="F36" s="159" t="s">
        <v>48</v>
      </c>
      <c r="G36" s="160" t="s">
        <v>297</v>
      </c>
      <c r="H36" s="161" t="s">
        <v>19</v>
      </c>
      <c r="I36" s="172"/>
      <c r="J36" s="177">
        <v>20</v>
      </c>
      <c r="K36" s="178" t="s">
        <v>20</v>
      </c>
      <c r="L36" s="64"/>
      <c r="M36" s="179">
        <v>1</v>
      </c>
      <c r="N36" s="180">
        <v>4</v>
      </c>
      <c r="O36" s="181">
        <v>0.60199999999999998</v>
      </c>
      <c r="P36" s="180">
        <v>300</v>
      </c>
      <c r="Q36" s="180">
        <v>90</v>
      </c>
      <c r="R36" s="182">
        <v>-0.51</v>
      </c>
      <c r="S36" s="64"/>
      <c r="T36" s="66"/>
      <c r="U36" s="66"/>
      <c r="V36" s="66"/>
      <c r="W36" s="66"/>
      <c r="X36" s="66"/>
      <c r="Y36" s="66"/>
      <c r="Z36" s="66"/>
      <c r="AA36" s="66"/>
      <c r="AB36" s="66"/>
      <c r="AC36" s="66"/>
      <c r="AD36" s="66"/>
      <c r="AE36" s="66"/>
      <c r="AF36" s="66"/>
      <c r="AG36" s="66"/>
      <c r="AH36" s="66"/>
      <c r="AI36" s="66"/>
      <c r="AJ36" s="66"/>
      <c r="AK36" s="66"/>
      <c r="AL36" s="66"/>
      <c r="AM36" s="66"/>
      <c r="AN36" s="66"/>
    </row>
    <row r="37" spans="1:40" ht="18.75" customHeight="1" thickBot="1">
      <c r="A37" s="141"/>
      <c r="B37" s="155" t="s">
        <v>298</v>
      </c>
      <c r="C37" s="157" t="s">
        <v>83</v>
      </c>
      <c r="D37" s="157"/>
      <c r="E37" s="158">
        <f>IF(E36&lt;&gt;"",E36*'General Inputs'!F16,"")</f>
        <v>1653.4593606040826</v>
      </c>
      <c r="F37" s="159" t="s">
        <v>48</v>
      </c>
      <c r="G37" s="160" t="s">
        <v>299</v>
      </c>
      <c r="H37" s="171" t="s">
        <v>21</v>
      </c>
      <c r="I37" s="172"/>
      <c r="J37" s="183">
        <f>'General Inputs'!F23</f>
        <v>125</v>
      </c>
      <c r="K37" s="178" t="s">
        <v>20</v>
      </c>
      <c r="L37" s="64"/>
      <c r="M37" s="184">
        <v>50</v>
      </c>
      <c r="N37" s="185">
        <v>16.100000000000001</v>
      </c>
      <c r="O37" s="186">
        <v>-4.8000000000000001E-2</v>
      </c>
      <c r="P37" s="185">
        <v>1000</v>
      </c>
      <c r="Q37" s="185">
        <v>300</v>
      </c>
      <c r="R37" s="182">
        <v>0.995</v>
      </c>
      <c r="S37" s="64"/>
      <c r="T37" s="66"/>
      <c r="U37" s="66"/>
      <c r="V37" s="66"/>
      <c r="W37" s="66"/>
      <c r="X37" s="66"/>
      <c r="Y37" s="66"/>
      <c r="Z37" s="66"/>
      <c r="AA37" s="66"/>
      <c r="AB37" s="66"/>
      <c r="AC37" s="66"/>
      <c r="AD37" s="66"/>
      <c r="AE37" s="66"/>
      <c r="AF37" s="66"/>
      <c r="AG37" s="66"/>
      <c r="AH37" s="66"/>
      <c r="AI37" s="66"/>
      <c r="AJ37" s="66"/>
      <c r="AK37" s="66"/>
      <c r="AL37" s="66"/>
      <c r="AM37" s="66"/>
      <c r="AN37" s="66"/>
    </row>
    <row r="38" spans="1:40" ht="18.75" customHeight="1" thickBot="1">
      <c r="A38" s="141"/>
      <c r="B38" s="155" t="s">
        <v>300</v>
      </c>
      <c r="C38" s="157" t="s">
        <v>84</v>
      </c>
      <c r="D38" s="157"/>
      <c r="E38" s="158">
        <f>IF(E36&lt;&gt;"",E36*'General Inputs'!F17,"")</f>
        <v>1455.0442373315927</v>
      </c>
      <c r="F38" s="159" t="s">
        <v>48</v>
      </c>
      <c r="G38" s="187" t="s">
        <v>301</v>
      </c>
      <c r="H38" s="161" t="s">
        <v>279</v>
      </c>
      <c r="I38" s="188">
        <f>IF(AND(E15&lt;&gt;"",E17&lt;&gt;"",E25&lt;&gt;"",J27&lt;&gt;""),0.25*SQRT(J27/100^2*E25*10^9/E15/E17),"")</f>
        <v>334.69197215369763</v>
      </c>
      <c r="J38" s="189" t="str">
        <f>IF(I38&gt;=J36, "Comply", "Not Comply")</f>
        <v>Comply</v>
      </c>
      <c r="K38" s="190" t="s">
        <v>20</v>
      </c>
      <c r="L38" s="64"/>
      <c r="M38" s="184">
        <v>100</v>
      </c>
      <c r="N38" s="185">
        <v>30</v>
      </c>
      <c r="O38" s="186">
        <v>0.24</v>
      </c>
      <c r="P38" s="185">
        <v>3000</v>
      </c>
      <c r="Q38" s="185">
        <v>890</v>
      </c>
      <c r="R38" s="182"/>
      <c r="S38" s="64"/>
      <c r="T38" s="66"/>
      <c r="U38" s="66"/>
      <c r="V38" s="66"/>
      <c r="W38" s="66"/>
      <c r="X38" s="66"/>
      <c r="Y38" s="66"/>
      <c r="Z38" s="66"/>
      <c r="AA38" s="66"/>
      <c r="AB38" s="66"/>
      <c r="AC38" s="66"/>
      <c r="AD38" s="66"/>
      <c r="AE38" s="66"/>
      <c r="AF38" s="66"/>
      <c r="AG38" s="66"/>
      <c r="AH38" s="66"/>
      <c r="AI38" s="66"/>
      <c r="AJ38" s="66"/>
      <c r="AK38" s="66"/>
      <c r="AL38" s="66"/>
      <c r="AM38" s="66"/>
      <c r="AN38" s="66"/>
    </row>
    <row r="39" spans="1:40" ht="18.75" customHeight="1" thickBot="1">
      <c r="A39" s="141"/>
      <c r="B39" s="155" t="s">
        <v>302</v>
      </c>
      <c r="C39" s="157" t="s">
        <v>273</v>
      </c>
      <c r="D39" s="157"/>
      <c r="E39" s="191">
        <f>IF(AND(E37&lt;&gt;"",E24&lt;&gt;"",J27&lt;&gt;""),E24*10^6*J27/10^4/E37-1,"")</f>
        <v>78.999999999999943</v>
      </c>
      <c r="F39" s="192" t="str">
        <f>IF(E39&gt;=0, "Comply", "Not Comply")</f>
        <v>Comply</v>
      </c>
      <c r="G39" s="187" t="s">
        <v>303</v>
      </c>
      <c r="H39" s="161" t="s">
        <v>278</v>
      </c>
      <c r="I39" s="188">
        <f>IF(AND(E15&lt;&gt;"",E17&lt;&gt;"",J28&lt;&gt;"",E25&lt;&gt;""),0.56*SQRT(E25*10^9*J28/(100)^4/E17/E15^3),"")</f>
        <v>265.06251869280817</v>
      </c>
      <c r="J39" s="193" t="str">
        <f>IF(I39&gt;=J37, "Comply", "Not Comply")</f>
        <v>Comply</v>
      </c>
      <c r="K39" s="190" t="s">
        <v>20</v>
      </c>
      <c r="L39" s="64"/>
      <c r="M39" s="194">
        <v>300</v>
      </c>
      <c r="N39" s="195">
        <v>90</v>
      </c>
      <c r="O39" s="196"/>
      <c r="P39" s="195"/>
      <c r="Q39" s="195"/>
      <c r="R39" s="197"/>
      <c r="S39" s="56"/>
      <c r="U39" s="66"/>
      <c r="V39" s="66"/>
      <c r="W39" s="66"/>
      <c r="X39" s="66"/>
      <c r="Y39" s="66"/>
      <c r="Z39" s="66"/>
      <c r="AA39" s="66"/>
      <c r="AB39" s="66"/>
      <c r="AC39" s="66"/>
      <c r="AD39" s="66"/>
      <c r="AE39" s="66"/>
      <c r="AF39" s="66"/>
      <c r="AG39" s="66"/>
      <c r="AH39" s="66"/>
      <c r="AI39" s="66"/>
      <c r="AJ39" s="66"/>
      <c r="AK39" s="66"/>
      <c r="AL39" s="66"/>
      <c r="AM39" s="66"/>
      <c r="AN39" s="66"/>
    </row>
    <row r="40" spans="1:40" ht="25.5" customHeight="1" thickBot="1">
      <c r="A40" s="141"/>
      <c r="B40" s="198" t="s">
        <v>304</v>
      </c>
      <c r="C40" s="199" t="s">
        <v>274</v>
      </c>
      <c r="D40" s="199"/>
      <c r="E40" s="200">
        <f>IF(AND(E38&lt;&gt;"",E26&lt;&gt;"",J27&lt;&gt;""),E26*10^6*J27/10^4/E38-1,"")</f>
        <v>76.723802914642548</v>
      </c>
      <c r="F40" s="201" t="str">
        <f>IF(E40&gt;=0, "Comply", "Not Comply")</f>
        <v>Comply</v>
      </c>
      <c r="G40" s="202"/>
      <c r="H40" s="172"/>
      <c r="I40" s="172"/>
      <c r="J40" s="172"/>
      <c r="K40" s="203"/>
      <c r="L40" s="64"/>
      <c r="M40" s="204"/>
      <c r="N40" s="204"/>
      <c r="O40" s="204"/>
      <c r="P40" s="204"/>
      <c r="Q40" s="204"/>
      <c r="R40" s="204"/>
      <c r="S40" s="56"/>
      <c r="U40" s="66"/>
      <c r="V40" s="66"/>
      <c r="W40" s="66"/>
      <c r="X40" s="66"/>
      <c r="Y40" s="66"/>
      <c r="Z40" s="66"/>
      <c r="AA40" s="66"/>
      <c r="AB40" s="66"/>
      <c r="AC40" s="66"/>
      <c r="AD40" s="66"/>
      <c r="AE40" s="66"/>
      <c r="AF40" s="66"/>
      <c r="AG40" s="66"/>
      <c r="AH40" s="66"/>
      <c r="AI40" s="66"/>
      <c r="AJ40" s="66"/>
      <c r="AK40" s="66"/>
      <c r="AL40" s="66"/>
      <c r="AM40" s="66"/>
      <c r="AN40" s="66"/>
    </row>
    <row r="41" spans="1:40" ht="18.75" customHeight="1" thickTop="1">
      <c r="A41" s="64"/>
      <c r="B41" s="204"/>
      <c r="C41" s="204"/>
      <c r="D41" s="204"/>
      <c r="E41" s="204"/>
      <c r="F41" s="205"/>
      <c r="G41" s="206"/>
      <c r="H41" s="143" t="s">
        <v>89</v>
      </c>
      <c r="I41" s="207"/>
      <c r="J41" s="207"/>
      <c r="K41" s="208"/>
      <c r="L41" s="7"/>
      <c r="M41" s="204"/>
      <c r="N41" s="204"/>
      <c r="O41" s="204"/>
      <c r="P41" s="204"/>
      <c r="Q41" s="204"/>
      <c r="R41" s="204"/>
      <c r="S41" s="56"/>
      <c r="U41" s="66"/>
      <c r="V41" s="66"/>
      <c r="W41" s="66"/>
      <c r="X41" s="66"/>
      <c r="Y41" s="66"/>
      <c r="Z41" s="66"/>
      <c r="AA41" s="66"/>
      <c r="AB41" s="66"/>
      <c r="AC41" s="66"/>
      <c r="AD41" s="66"/>
      <c r="AE41" s="66"/>
      <c r="AF41" s="66"/>
      <c r="AG41" s="66"/>
      <c r="AH41" s="66"/>
      <c r="AI41" s="66"/>
      <c r="AJ41" s="66"/>
      <c r="AK41" s="66"/>
      <c r="AL41" s="66"/>
      <c r="AM41" s="66"/>
      <c r="AN41" s="66"/>
    </row>
    <row r="42" spans="1:40" ht="18.75" customHeight="1">
      <c r="A42" s="64"/>
      <c r="B42" s="204"/>
      <c r="C42" s="204"/>
      <c r="D42" s="204"/>
      <c r="E42" s="204"/>
      <c r="F42" s="209"/>
      <c r="G42" s="155" t="s">
        <v>298</v>
      </c>
      <c r="H42" s="156" t="s">
        <v>275</v>
      </c>
      <c r="I42" s="210"/>
      <c r="J42" s="211">
        <f>IF(E37&lt;&gt;"",E37,"")</f>
        <v>1653.4593606040826</v>
      </c>
      <c r="K42" s="212" t="s">
        <v>48</v>
      </c>
      <c r="L42" s="7"/>
      <c r="M42" s="204"/>
      <c r="N42" s="204"/>
      <c r="O42" s="204"/>
      <c r="P42" s="204"/>
      <c r="Q42" s="204"/>
      <c r="R42" s="204"/>
      <c r="S42" s="56"/>
      <c r="U42" s="66"/>
      <c r="V42" s="66"/>
      <c r="W42" s="66"/>
      <c r="X42" s="66"/>
      <c r="Y42" s="66"/>
      <c r="Z42" s="66"/>
      <c r="AA42" s="66"/>
      <c r="AB42" s="66"/>
      <c r="AC42" s="66"/>
      <c r="AD42" s="66"/>
      <c r="AE42" s="66"/>
      <c r="AF42" s="66"/>
      <c r="AG42" s="66"/>
      <c r="AH42" s="66"/>
      <c r="AI42" s="66"/>
      <c r="AJ42" s="66"/>
      <c r="AK42" s="66"/>
      <c r="AL42" s="66"/>
      <c r="AM42" s="66"/>
      <c r="AN42" s="66"/>
    </row>
    <row r="43" spans="1:40" ht="18.75" customHeight="1">
      <c r="A43" s="64"/>
      <c r="B43" s="204"/>
      <c r="C43" s="204"/>
      <c r="D43" s="204"/>
      <c r="E43" s="204"/>
      <c r="F43" s="209"/>
      <c r="G43" s="213"/>
      <c r="H43" s="172"/>
      <c r="I43" s="172"/>
      <c r="J43" s="172"/>
      <c r="K43" s="203"/>
      <c r="L43" s="7"/>
      <c r="M43" s="204"/>
      <c r="N43" s="204"/>
      <c r="O43" s="204"/>
      <c r="P43" s="204"/>
      <c r="Q43" s="204"/>
      <c r="R43" s="204"/>
      <c r="S43" s="56"/>
      <c r="U43" s="66"/>
      <c r="V43" s="66"/>
      <c r="W43" s="66"/>
      <c r="X43" s="66"/>
      <c r="Y43" s="66"/>
      <c r="Z43" s="66"/>
      <c r="AA43" s="66"/>
      <c r="AB43" s="66"/>
      <c r="AC43" s="66"/>
      <c r="AD43" s="66"/>
      <c r="AE43" s="66"/>
      <c r="AF43" s="66"/>
      <c r="AG43" s="66"/>
      <c r="AH43" s="66"/>
      <c r="AI43" s="66"/>
      <c r="AJ43" s="66"/>
      <c r="AK43" s="66"/>
      <c r="AL43" s="66"/>
      <c r="AM43" s="66"/>
      <c r="AN43" s="66"/>
    </row>
    <row r="44" spans="1:40" ht="20.25" customHeight="1">
      <c r="A44" s="56"/>
      <c r="B44" s="204"/>
      <c r="C44" s="204"/>
      <c r="D44" s="204"/>
      <c r="E44" s="204"/>
      <c r="F44" s="209"/>
      <c r="G44" s="155"/>
      <c r="H44" s="214" t="s">
        <v>90</v>
      </c>
      <c r="I44" s="215"/>
      <c r="J44" s="215"/>
      <c r="K44" s="216"/>
      <c r="L44" s="7"/>
      <c r="M44" s="204"/>
      <c r="N44" s="204"/>
      <c r="O44" s="204"/>
      <c r="P44" s="204"/>
      <c r="Q44" s="204"/>
      <c r="R44" s="204"/>
      <c r="S44" s="56"/>
    </row>
    <row r="45" spans="1:40" ht="20.25" customHeight="1">
      <c r="A45" s="56"/>
      <c r="B45" s="204"/>
      <c r="C45" s="204"/>
      <c r="D45" s="204"/>
      <c r="E45" s="204"/>
      <c r="F45" s="209"/>
      <c r="G45" s="155" t="s">
        <v>91</v>
      </c>
      <c r="H45" s="157" t="s">
        <v>92</v>
      </c>
      <c r="I45" s="210"/>
      <c r="J45" s="217">
        <f>IF(J22=0, IF(AND(E16&lt;&gt;"",J16&lt;&gt;""),SQRT(E16/J16*100)/16,""), "")</f>
        <v>9.8603842417996432</v>
      </c>
      <c r="K45" s="212"/>
      <c r="L45" s="7"/>
      <c r="M45" s="204"/>
      <c r="N45" s="204"/>
      <c r="O45" s="204"/>
      <c r="P45" s="204"/>
      <c r="Q45" s="204"/>
      <c r="R45" s="204"/>
      <c r="S45" s="56"/>
    </row>
    <row r="46" spans="1:40" ht="20.25" customHeight="1">
      <c r="A46" s="56"/>
      <c r="B46" s="204"/>
      <c r="C46" s="204"/>
      <c r="D46" s="204"/>
      <c r="E46" s="204"/>
      <c r="F46" s="209"/>
      <c r="G46" s="155" t="s">
        <v>93</v>
      </c>
      <c r="H46" s="157" t="s">
        <v>94</v>
      </c>
      <c r="I46" s="210"/>
      <c r="J46" s="217">
        <f>IF(J45&lt;&gt;"",1-0.901*(1-EXP(-J45)),"")</f>
        <v>9.9047034261056099E-2</v>
      </c>
      <c r="K46" s="212"/>
      <c r="L46" s="7"/>
      <c r="M46" s="64"/>
      <c r="N46" s="64"/>
      <c r="O46" s="64"/>
      <c r="P46" s="56"/>
      <c r="Q46" s="56"/>
      <c r="R46" s="56"/>
      <c r="S46" s="56"/>
    </row>
    <row r="47" spans="1:40" ht="20.25" customHeight="1">
      <c r="A47" s="56"/>
      <c r="B47" s="204"/>
      <c r="C47" s="204"/>
      <c r="D47" s="204"/>
      <c r="E47" s="204"/>
      <c r="F47" s="209"/>
      <c r="G47" s="155" t="s">
        <v>305</v>
      </c>
      <c r="H47" s="157" t="s">
        <v>95</v>
      </c>
      <c r="I47" s="210"/>
      <c r="J47" s="211">
        <f>IF(AND(J16&lt;&gt;"",E25&lt;&gt;"",J46&lt;&gt;""),0.6*J46*E25*10^9*J16/100/E16,"")</f>
        <v>169520.97125976731</v>
      </c>
      <c r="K47" s="212" t="s">
        <v>96</v>
      </c>
      <c r="L47" s="56"/>
      <c r="M47" s="56"/>
      <c r="N47" s="56"/>
      <c r="O47" s="56"/>
      <c r="P47" s="56"/>
      <c r="Q47" s="56"/>
      <c r="R47" s="56"/>
      <c r="S47" s="56"/>
    </row>
    <row r="48" spans="1:40" ht="20.25" customHeight="1">
      <c r="A48" s="56"/>
      <c r="B48" s="67"/>
      <c r="C48" s="67"/>
      <c r="D48" s="67"/>
      <c r="E48" s="67"/>
      <c r="F48" s="218"/>
      <c r="G48" s="155"/>
      <c r="H48" s="219" t="s">
        <v>97</v>
      </c>
      <c r="I48" s="215"/>
      <c r="J48" s="215"/>
      <c r="K48" s="216"/>
      <c r="L48" s="64"/>
      <c r="M48" s="56"/>
      <c r="N48" s="56"/>
      <c r="O48" s="56"/>
      <c r="P48" s="56"/>
      <c r="Q48" s="56"/>
      <c r="R48" s="56"/>
      <c r="S48" s="56"/>
    </row>
    <row r="49" spans="1:19" ht="20.25" customHeight="1">
      <c r="A49" s="56"/>
      <c r="B49" s="204"/>
      <c r="C49" s="204"/>
      <c r="D49" s="204"/>
      <c r="E49" s="204"/>
      <c r="F49" s="209"/>
      <c r="G49" s="155" t="s">
        <v>98</v>
      </c>
      <c r="H49" s="157" t="s">
        <v>99</v>
      </c>
      <c r="I49" s="210"/>
      <c r="J49" s="217" t="str">
        <f>IF(J22=0, "", IF(AND(E16&lt;&gt;"",J22&lt;&gt;""),IF(J22=0, 2*PI()*E16, 2*PI()*E16/J22),""))</f>
        <v/>
      </c>
      <c r="K49" s="212" t="s">
        <v>28</v>
      </c>
      <c r="L49" s="56"/>
      <c r="M49" s="56"/>
      <c r="N49" s="56"/>
      <c r="O49" s="56"/>
      <c r="P49" s="56"/>
      <c r="Q49" s="56"/>
      <c r="R49" s="56"/>
      <c r="S49" s="56"/>
    </row>
    <row r="50" spans="1:19" ht="20.25" customHeight="1">
      <c r="A50" s="56"/>
      <c r="B50" s="204"/>
      <c r="C50" s="204"/>
      <c r="D50" s="204"/>
      <c r="E50" s="204"/>
      <c r="F50" s="209"/>
      <c r="G50" s="155" t="s">
        <v>100</v>
      </c>
      <c r="H50" s="157" t="s">
        <v>101</v>
      </c>
      <c r="I50" s="210"/>
      <c r="J50" s="217" t="str">
        <f>IF(AND(E16&lt;&gt;"",J16&lt;&gt;"",J49&lt;&gt;""),J49^2/E16/J16*100*SQRT(1-E28^2),"")</f>
        <v/>
      </c>
      <c r="K50" s="212"/>
      <c r="L50" s="56"/>
      <c r="M50" s="56"/>
      <c r="N50" s="56"/>
      <c r="O50" s="56"/>
      <c r="P50" s="56"/>
      <c r="Q50" s="56"/>
      <c r="R50" s="56"/>
      <c r="S50" s="56"/>
    </row>
    <row r="51" spans="1:19" ht="20.25" customHeight="1">
      <c r="A51" s="56"/>
      <c r="B51" s="204"/>
      <c r="C51" s="204"/>
      <c r="D51" s="204"/>
      <c r="E51" s="204"/>
      <c r="F51" s="209"/>
      <c r="G51" s="155" t="s">
        <v>102</v>
      </c>
      <c r="H51" s="157" t="s">
        <v>103</v>
      </c>
      <c r="I51" s="220"/>
      <c r="J51" s="221" t="str">
        <f>IF(I51&lt;&gt;"",I51,IF(J50&lt;&gt;"",IF(J50&lt;300,10^(O36+O37*LOG(J50)+O38*LOG(J50)^2),10^(R36+R37*LOG(J50))),""))</f>
        <v/>
      </c>
      <c r="K51" s="212"/>
      <c r="L51" s="56"/>
      <c r="M51" s="56"/>
      <c r="N51" s="56"/>
      <c r="O51" s="56"/>
      <c r="P51" s="56"/>
      <c r="Q51" s="56"/>
      <c r="R51" s="56"/>
      <c r="S51" s="56"/>
    </row>
    <row r="52" spans="1:19" ht="20.25" customHeight="1">
      <c r="A52" s="56"/>
      <c r="B52" s="204"/>
      <c r="C52" s="204"/>
      <c r="D52" s="204"/>
      <c r="E52" s="204"/>
      <c r="F52" s="209"/>
      <c r="G52" s="155" t="s">
        <v>305</v>
      </c>
      <c r="H52" s="157" t="s">
        <v>95</v>
      </c>
      <c r="I52" s="210"/>
      <c r="J52" s="211" t="str">
        <f>IF(AND(J16&lt;&gt;"",J49&lt;&gt;"",J51&lt;&gt;"",E25&lt;&gt;"",E28&lt;&gt;""),J51*PI()^2*E25*10^9/12/(1-E28^2)*(J16/100/J49)^2,"")</f>
        <v/>
      </c>
      <c r="K52" s="212" t="s">
        <v>96</v>
      </c>
      <c r="L52" s="56"/>
      <c r="M52" s="56"/>
      <c r="N52" s="56"/>
      <c r="O52" s="56"/>
      <c r="P52" s="56"/>
      <c r="Q52" s="56"/>
      <c r="R52" s="56"/>
      <c r="S52" s="56"/>
    </row>
    <row r="53" spans="1:19" ht="20.25" customHeight="1">
      <c r="A53" s="56"/>
      <c r="B53" s="204"/>
      <c r="C53" s="204"/>
      <c r="D53" s="204"/>
      <c r="E53" s="204"/>
      <c r="F53" s="209"/>
      <c r="G53" s="155"/>
      <c r="H53" s="157"/>
      <c r="I53" s="210"/>
      <c r="J53" s="211"/>
      <c r="K53" s="212"/>
      <c r="L53" s="56"/>
      <c r="M53" s="56"/>
      <c r="N53" s="56"/>
      <c r="O53" s="56"/>
      <c r="P53" s="56"/>
      <c r="Q53" s="56"/>
      <c r="R53" s="56"/>
      <c r="S53" s="56"/>
    </row>
    <row r="54" spans="1:19" ht="20.25" customHeight="1" thickBot="1">
      <c r="A54" s="56"/>
      <c r="B54" s="204"/>
      <c r="C54" s="204"/>
      <c r="D54" s="204"/>
      <c r="E54" s="204"/>
      <c r="F54" s="209"/>
      <c r="G54" s="155" t="s">
        <v>306</v>
      </c>
      <c r="H54" s="157" t="s">
        <v>276</v>
      </c>
      <c r="I54" s="210"/>
      <c r="J54" s="211">
        <f>IF(J27&lt;&gt;"",IF(J52&lt;&gt;"",J52*J27/100/100, IF(J47&lt;&gt;"", J47*J27/100/100, "")),"")</f>
        <v>42.793288053153844</v>
      </c>
      <c r="K54" s="212" t="s">
        <v>48</v>
      </c>
      <c r="L54" s="56"/>
      <c r="M54" s="56"/>
      <c r="N54" s="56"/>
      <c r="O54" s="56"/>
      <c r="P54" s="56"/>
      <c r="Q54" s="56"/>
      <c r="R54" s="56"/>
      <c r="S54" s="56"/>
    </row>
    <row r="55" spans="1:19" ht="20.25" customHeight="1" thickBot="1">
      <c r="A55" s="56"/>
      <c r="B55" s="204"/>
      <c r="C55" s="204"/>
      <c r="D55" s="204"/>
      <c r="E55" s="204"/>
      <c r="F55" s="209"/>
      <c r="G55" s="155" t="s">
        <v>307</v>
      </c>
      <c r="H55" s="157" t="s">
        <v>277</v>
      </c>
      <c r="I55" s="157"/>
      <c r="J55" s="222">
        <f>IF(AND(J42&lt;&gt;"",J54&lt;&gt;""),J54/J42-1,"")</f>
        <v>-0.97411893568553176</v>
      </c>
      <c r="K55" s="223" t="str">
        <f>IF(J55&gt;=0, "Comply", "Not Comply")</f>
        <v>Not Comply</v>
      </c>
      <c r="L55" s="56"/>
      <c r="M55" s="56"/>
      <c r="N55" s="56"/>
      <c r="O55" s="56"/>
      <c r="P55" s="56"/>
      <c r="Q55" s="56"/>
      <c r="R55" s="56"/>
      <c r="S55" s="56"/>
    </row>
    <row r="56" spans="1:19" ht="18.75" customHeight="1" thickBot="1">
      <c r="A56" s="56"/>
      <c r="B56" s="204"/>
      <c r="C56" s="204"/>
      <c r="D56" s="204"/>
      <c r="E56" s="204"/>
      <c r="F56" s="209"/>
      <c r="G56" s="224"/>
      <c r="H56" s="225"/>
      <c r="I56" s="226"/>
      <c r="J56" s="227" t="s">
        <v>105</v>
      </c>
      <c r="K56" s="228">
        <v>0.25</v>
      </c>
      <c r="L56" s="56"/>
      <c r="M56" s="56"/>
      <c r="N56" s="56"/>
      <c r="O56" s="56"/>
      <c r="P56" s="56"/>
      <c r="Q56" s="56"/>
      <c r="R56" s="56"/>
      <c r="S56" s="56"/>
    </row>
    <row r="57" spans="1:19" ht="20.25" customHeight="1" thickTop="1" thickBot="1">
      <c r="A57" s="56"/>
      <c r="B57" s="56"/>
      <c r="C57" s="56"/>
      <c r="D57" s="56"/>
      <c r="E57" s="56"/>
      <c r="F57" s="56"/>
      <c r="G57" s="56"/>
      <c r="H57" s="56"/>
      <c r="I57" s="56"/>
      <c r="J57" s="56"/>
      <c r="K57" s="229"/>
      <c r="L57" s="56"/>
      <c r="M57" s="56"/>
      <c r="N57" s="56"/>
      <c r="O57" s="56"/>
      <c r="P57" s="56"/>
      <c r="Q57" s="56"/>
      <c r="R57" s="56"/>
      <c r="S57" s="56"/>
    </row>
    <row r="58" spans="1:19" ht="38.1" customHeight="1" thickTop="1" thickBot="1">
      <c r="A58" s="56"/>
      <c r="B58" s="56"/>
      <c r="C58" s="56"/>
      <c r="D58" s="56"/>
      <c r="E58" s="56"/>
      <c r="F58" s="56"/>
      <c r="G58" s="519" t="s">
        <v>106</v>
      </c>
      <c r="H58" s="520"/>
      <c r="I58" s="520"/>
      <c r="J58" s="520"/>
      <c r="K58" s="521"/>
      <c r="L58" s="56"/>
      <c r="M58" s="56"/>
      <c r="N58" s="56"/>
      <c r="O58" s="56"/>
      <c r="P58" s="56"/>
      <c r="Q58" s="56"/>
      <c r="R58" s="56"/>
      <c r="S58" s="56"/>
    </row>
    <row r="59" spans="1:19" ht="20.25" customHeight="1">
      <c r="A59" s="56"/>
      <c r="B59" s="56"/>
      <c r="C59" s="56"/>
      <c r="D59" s="56"/>
      <c r="E59" s="56"/>
      <c r="F59" s="56"/>
      <c r="G59" s="230" t="s">
        <v>308</v>
      </c>
      <c r="H59" s="231" t="s">
        <v>107</v>
      </c>
      <c r="I59" s="232"/>
      <c r="J59" s="233">
        <f>IF(AND(E23&lt;&gt;"",J18&lt;&gt;"",E15&lt;&gt;""),E23*J18/10000*E15,"")</f>
        <v>1.4136446441805888</v>
      </c>
      <c r="K59" s="234" t="s">
        <v>36</v>
      </c>
      <c r="L59" s="56"/>
      <c r="M59" s="56"/>
      <c r="N59" s="56"/>
      <c r="O59" s="56"/>
      <c r="P59" s="56"/>
      <c r="Q59" s="56"/>
      <c r="R59" s="56"/>
      <c r="S59" s="56"/>
    </row>
    <row r="60" spans="1:19" ht="20.25" customHeight="1">
      <c r="A60" s="56"/>
      <c r="B60" s="56"/>
      <c r="C60" s="56"/>
      <c r="D60" s="56"/>
      <c r="E60" s="56"/>
      <c r="F60" s="56"/>
      <c r="G60" s="235" t="s">
        <v>309</v>
      </c>
      <c r="H60" s="231" t="s">
        <v>46</v>
      </c>
      <c r="I60" s="232"/>
      <c r="J60" s="233" t="str">
        <f>IF(AND(E23&lt;&gt;"",J22&lt;&gt;"",J23&lt;&gt;"",E15&lt;&gt;""),E23*J23/100/100*J22*E15,"")</f>
        <v/>
      </c>
      <c r="K60" s="234" t="s">
        <v>36</v>
      </c>
      <c r="L60" s="56"/>
      <c r="M60" s="56"/>
      <c r="N60" s="56"/>
      <c r="O60" s="56"/>
      <c r="P60" s="56"/>
      <c r="Q60" s="56"/>
      <c r="R60" s="56"/>
      <c r="S60" s="56"/>
    </row>
    <row r="61" spans="1:19" ht="20.25" customHeight="1" thickBot="1">
      <c r="A61" s="56"/>
      <c r="B61" s="56"/>
      <c r="C61" s="56"/>
      <c r="D61" s="56"/>
      <c r="E61" s="56"/>
      <c r="F61" s="56"/>
      <c r="G61" s="235" t="s">
        <v>310</v>
      </c>
      <c r="H61" s="231" t="s">
        <v>108</v>
      </c>
      <c r="I61" s="236"/>
      <c r="J61" s="233" t="str">
        <f>IF(AND(J59&lt;&gt;"",J60&lt;&gt;""),IF(I61&lt;&gt;"",I61,0.25*(J59+J60)),"")</f>
        <v/>
      </c>
      <c r="K61" s="234" t="s">
        <v>36</v>
      </c>
      <c r="L61" s="56"/>
      <c r="M61" s="56"/>
      <c r="N61" s="56"/>
      <c r="O61" s="56"/>
      <c r="P61" s="56"/>
      <c r="Q61" s="56"/>
      <c r="R61" s="56"/>
      <c r="S61" s="56"/>
    </row>
    <row r="62" spans="1:19" ht="20.25" customHeight="1" thickTop="1" thickBot="1">
      <c r="A62" s="56"/>
      <c r="B62" s="56"/>
      <c r="C62" s="56"/>
      <c r="D62" s="56"/>
      <c r="E62" s="56"/>
      <c r="F62" s="56"/>
      <c r="G62" s="522" t="s">
        <v>109</v>
      </c>
      <c r="H62" s="523"/>
      <c r="I62" s="523"/>
      <c r="J62" s="523"/>
      <c r="K62" s="524"/>
      <c r="L62" s="56"/>
      <c r="M62" s="56"/>
      <c r="N62" s="56"/>
      <c r="O62" s="56"/>
      <c r="P62" s="56"/>
      <c r="Q62" s="56"/>
      <c r="R62" s="56"/>
      <c r="S62" s="56"/>
    </row>
    <row r="63" spans="1:19" ht="20.25" customHeight="1" thickTop="1" thickBot="1">
      <c r="A63" s="56"/>
      <c r="B63" s="56"/>
      <c r="C63" s="56"/>
      <c r="D63" s="56"/>
      <c r="E63" s="56"/>
      <c r="F63" s="56"/>
      <c r="G63" s="237" t="s">
        <v>311</v>
      </c>
      <c r="H63" s="238" t="s">
        <v>110</v>
      </c>
      <c r="I63" s="239"/>
      <c r="J63" s="240">
        <f>IF(OR(J59&lt;&gt;"",J60&lt;&gt;"",J61&lt;&gt;""),SUM(J59:J61),"")</f>
        <v>1.4136446441805888</v>
      </c>
      <c r="K63" s="241" t="s">
        <v>36</v>
      </c>
      <c r="L63" s="56"/>
      <c r="M63" s="56"/>
      <c r="N63" s="56"/>
      <c r="O63" s="56"/>
      <c r="P63" s="56"/>
      <c r="Q63" s="56"/>
      <c r="R63" s="56"/>
      <c r="S63" s="56"/>
    </row>
    <row r="64" spans="1:19" ht="20.25" customHeight="1" thickTop="1">
      <c r="A64" s="56"/>
      <c r="B64" s="56"/>
      <c r="C64" s="56"/>
      <c r="D64" s="56"/>
      <c r="E64" s="56"/>
      <c r="F64" s="56"/>
      <c r="G64" s="56"/>
      <c r="H64" s="56"/>
      <c r="I64" s="56"/>
      <c r="J64" s="56"/>
      <c r="K64" s="229"/>
      <c r="L64" s="56"/>
      <c r="M64" s="56"/>
      <c r="N64" s="56"/>
      <c r="O64" s="56"/>
      <c r="P64" s="56"/>
      <c r="Q64" s="56"/>
      <c r="R64" s="56"/>
      <c r="S64" s="56"/>
    </row>
    <row r="65" spans="1:19" ht="20.25" customHeight="1">
      <c r="A65" s="56"/>
      <c r="B65" s="56"/>
      <c r="C65" s="56"/>
      <c r="D65" s="56"/>
      <c r="E65" s="56"/>
      <c r="F65" s="56"/>
      <c r="G65" s="56"/>
      <c r="H65" s="56"/>
      <c r="I65" s="56"/>
      <c r="J65" s="56"/>
      <c r="K65" s="229"/>
      <c r="L65" s="56"/>
      <c r="M65" s="56"/>
      <c r="N65" s="56"/>
      <c r="O65" s="56"/>
      <c r="P65" s="56"/>
      <c r="Q65" s="56"/>
      <c r="R65" s="56"/>
      <c r="S65" s="56"/>
    </row>
    <row r="66" spans="1:19" ht="20.25" customHeight="1"/>
    <row r="67" spans="1:19" ht="20.25" customHeight="1"/>
    <row r="68" spans="1:19" ht="20.25" customHeight="1"/>
    <row r="69" spans="1:19" ht="20.25" customHeight="1"/>
    <row r="70" spans="1:19" ht="20.25" customHeight="1"/>
    <row r="71" spans="1:19" ht="20.25" customHeight="1"/>
    <row r="72" spans="1:19" ht="20.25" customHeight="1"/>
    <row r="73" spans="1:19" ht="20.25" customHeight="1"/>
    <row r="74" spans="1:19" ht="20.25" customHeight="1"/>
    <row r="75" spans="1:19" ht="20.25" customHeight="1"/>
    <row r="76" spans="1:19" ht="20.25" customHeight="1"/>
    <row r="77" spans="1:19" ht="20.25" customHeight="1"/>
    <row r="78" spans="1:19" ht="20.25" customHeight="1"/>
    <row r="79" spans="1:19" ht="20.25" customHeight="1"/>
    <row r="80" spans="1:19"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row r="109" ht="20.25" customHeight="1"/>
    <row r="110" ht="20.25" customHeight="1"/>
    <row r="111" ht="20.25" customHeight="1"/>
    <row r="112" ht="20.25" customHeight="1"/>
    <row r="113" ht="20.25" customHeight="1"/>
    <row r="114" ht="20.25" customHeight="1"/>
    <row r="115" ht="20.25" customHeight="1"/>
    <row r="116" ht="20.25" customHeight="1"/>
    <row r="117" ht="20.25" customHeight="1"/>
    <row r="118" ht="20.25" customHeight="1"/>
    <row r="119" ht="20.25" customHeight="1"/>
    <row r="120" ht="20.25" customHeight="1"/>
    <row r="121" ht="20.25" customHeight="1"/>
    <row r="122" ht="20.25" customHeight="1"/>
    <row r="123" ht="20.25" customHeight="1"/>
    <row r="124" ht="20.25" customHeight="1"/>
    <row r="125" ht="20.25" customHeight="1"/>
    <row r="126" ht="20.25" customHeight="1"/>
    <row r="127" ht="20.25" customHeight="1"/>
    <row r="128" ht="20.25" customHeight="1"/>
    <row r="129" ht="20.25" customHeight="1"/>
    <row r="130" ht="20.25" customHeight="1"/>
    <row r="131" ht="20.25" customHeight="1"/>
    <row r="132" ht="20.25" customHeight="1"/>
    <row r="133" ht="20.25" customHeight="1"/>
    <row r="134" ht="20.25" customHeight="1"/>
    <row r="135" ht="20.25" customHeight="1"/>
    <row r="136" ht="20.25" customHeight="1"/>
    <row r="137" ht="20.25" customHeight="1"/>
    <row r="138" ht="20.25" customHeight="1"/>
    <row r="139" ht="20.25" customHeight="1"/>
    <row r="140" ht="20.25" customHeight="1"/>
    <row r="141" ht="20.25" customHeight="1"/>
    <row r="142" ht="20.25" customHeight="1"/>
    <row r="143" ht="20.25" customHeight="1"/>
    <row r="144" ht="20.25" customHeight="1"/>
    <row r="145" ht="20.25" customHeight="1"/>
    <row r="146" ht="20.25" customHeight="1"/>
    <row r="147" ht="20.25" customHeight="1"/>
    <row r="148" ht="20.25" customHeight="1"/>
    <row r="149" ht="20.25" customHeight="1"/>
    <row r="150" ht="20.25" customHeight="1"/>
    <row r="151" ht="20.25" customHeight="1"/>
    <row r="152" ht="20.25" customHeight="1"/>
    <row r="153" ht="20.25" customHeight="1"/>
    <row r="154" ht="20.25" customHeight="1"/>
    <row r="155" ht="20.25" customHeight="1"/>
    <row r="156" ht="20.25" customHeight="1"/>
    <row r="157" ht="20.25" customHeight="1"/>
    <row r="158" ht="20.25" customHeight="1"/>
    <row r="159" ht="20.25" customHeight="1"/>
    <row r="160" ht="20.25" customHeight="1"/>
    <row r="161" ht="20.25" customHeight="1"/>
    <row r="162" ht="20.25" customHeight="1"/>
    <row r="163" ht="20.25" customHeight="1"/>
    <row r="164" ht="20.25" customHeight="1"/>
    <row r="165" ht="20.25" customHeight="1"/>
    <row r="166" ht="20.25" customHeight="1"/>
    <row r="167" ht="20.25" customHeight="1"/>
    <row r="168" ht="20.25" customHeight="1"/>
    <row r="169" ht="20.25" customHeight="1"/>
    <row r="170" ht="20.25" customHeight="1"/>
    <row r="171" ht="20.25" customHeight="1"/>
    <row r="172" ht="20.25" customHeight="1"/>
    <row r="173" ht="20.25" customHeight="1"/>
    <row r="174" ht="20.25" customHeight="1"/>
    <row r="175" ht="20.25" customHeight="1"/>
    <row r="176" ht="20.25" customHeight="1"/>
    <row r="177" ht="20.25" customHeight="1"/>
    <row r="178" ht="20.25" customHeight="1"/>
    <row r="179" ht="20.25" customHeight="1"/>
    <row r="180" ht="20.25" customHeight="1"/>
    <row r="181" ht="20.25" customHeight="1"/>
    <row r="182" ht="20.25" customHeight="1"/>
    <row r="183" ht="20.25" customHeight="1"/>
    <row r="184" ht="20.25" customHeight="1"/>
    <row r="185" ht="20.25" customHeight="1"/>
    <row r="186" ht="20.25" customHeight="1"/>
    <row r="187" ht="20.25" customHeight="1"/>
    <row r="188" ht="20.25" customHeight="1"/>
    <row r="189" ht="20.25" customHeight="1"/>
    <row r="190" ht="20.25" customHeight="1"/>
    <row r="191" ht="20.25" customHeight="1"/>
    <row r="192" ht="20.25" customHeight="1"/>
    <row r="193" ht="20.25" customHeight="1"/>
    <row r="194" ht="20.25" customHeight="1"/>
    <row r="195" ht="20.25" customHeight="1"/>
    <row r="196" ht="20.25" customHeight="1"/>
    <row r="197" ht="20.25" customHeight="1"/>
    <row r="198" ht="20.25" customHeight="1"/>
    <row r="199" ht="20.25" customHeight="1"/>
    <row r="200" ht="20.25" customHeight="1"/>
    <row r="201" ht="20.25" customHeight="1"/>
    <row r="202" ht="20.25" customHeight="1"/>
    <row r="203" ht="20.25" customHeight="1"/>
    <row r="204" ht="20.25" customHeight="1"/>
    <row r="205" ht="20.25" customHeight="1"/>
    <row r="206" ht="20.25" customHeight="1"/>
    <row r="207" ht="20.25" customHeight="1"/>
    <row r="208" ht="20.25" customHeight="1"/>
    <row r="209" ht="20.25" customHeight="1"/>
    <row r="210" ht="20.25" customHeight="1"/>
    <row r="211" ht="20.25" customHeight="1"/>
    <row r="212" ht="20.25" customHeight="1"/>
    <row r="213" ht="20.25" customHeight="1"/>
    <row r="214" ht="20.25" customHeight="1"/>
    <row r="215" ht="20.25" customHeight="1"/>
    <row r="216" ht="20.25" customHeight="1"/>
    <row r="217" ht="20.25" customHeight="1"/>
    <row r="218" ht="20.25" customHeight="1"/>
    <row r="219" ht="20.25" customHeight="1"/>
    <row r="220" ht="20.25" customHeight="1"/>
    <row r="221" ht="20.25" customHeight="1"/>
    <row r="222" ht="20.25" customHeight="1"/>
    <row r="223" ht="20.25" customHeight="1"/>
    <row r="224" ht="20.25" customHeight="1"/>
    <row r="225" ht="20.25" customHeight="1"/>
    <row r="226" ht="20.25" customHeight="1"/>
    <row r="227" ht="20.25" customHeight="1"/>
    <row r="228" ht="20.25" customHeight="1"/>
    <row r="229" ht="20.25" customHeight="1"/>
    <row r="230" ht="20.25" customHeight="1"/>
    <row r="231" ht="20.25" customHeight="1"/>
    <row r="232" ht="20.25" customHeight="1"/>
    <row r="233" ht="20.25" customHeight="1"/>
    <row r="234" ht="20.25" customHeight="1"/>
    <row r="235" ht="20.25" customHeight="1"/>
    <row r="236" ht="20.25" customHeight="1"/>
    <row r="237" ht="20.25" customHeight="1"/>
    <row r="238" ht="20.25" customHeight="1"/>
    <row r="239" ht="20.25" customHeight="1"/>
    <row r="240" ht="20.25" customHeight="1"/>
    <row r="241" ht="20.25" customHeight="1"/>
    <row r="242" ht="20.25" customHeight="1"/>
    <row r="243" ht="20.25" customHeight="1"/>
    <row r="244" ht="20.25" customHeight="1"/>
    <row r="245" ht="20.25" customHeight="1"/>
    <row r="246" ht="20.25" customHeight="1"/>
    <row r="247" ht="20.25" customHeight="1"/>
    <row r="248" ht="20.25" customHeight="1"/>
    <row r="249" ht="20.25" customHeight="1"/>
    <row r="250" ht="20.25" customHeight="1"/>
    <row r="251" ht="20.25" customHeight="1"/>
    <row r="252" ht="20.25" customHeight="1"/>
    <row r="253" ht="20.25" customHeight="1"/>
    <row r="254" ht="20.25" customHeight="1"/>
    <row r="255" ht="20.25" customHeight="1"/>
    <row r="256" ht="20.25" customHeight="1"/>
    <row r="257" ht="20.25" customHeight="1"/>
  </sheetData>
  <sheetProtection selectLockedCells="1" selectUnlockedCells="1"/>
  <mergeCells count="12">
    <mergeCell ref="M32:R32"/>
    <mergeCell ref="G58:K58"/>
    <mergeCell ref="G62:K62"/>
    <mergeCell ref="E2:I7"/>
    <mergeCell ref="B14:F14"/>
    <mergeCell ref="G14:K14"/>
    <mergeCell ref="G15:K15"/>
    <mergeCell ref="B18:F18"/>
    <mergeCell ref="G20:K20"/>
    <mergeCell ref="B21:F21"/>
    <mergeCell ref="H21:K21"/>
    <mergeCell ref="B32:K32"/>
  </mergeCells>
  <conditionalFormatting sqref="K55">
    <cfRule type="expression" dxfId="19" priority="1" stopIfTrue="1">
      <formula>$J$55&gt;=0</formula>
    </cfRule>
    <cfRule type="expression" dxfId="18" priority="2" stopIfTrue="1">
      <formula>$J$55&lt;0</formula>
    </cfRule>
  </conditionalFormatting>
  <conditionalFormatting sqref="F39">
    <cfRule type="expression" dxfId="17" priority="3" stopIfTrue="1">
      <formula>$E$39&gt;=0</formula>
    </cfRule>
    <cfRule type="expression" dxfId="16" priority="4" stopIfTrue="1">
      <formula>$E$39&lt;0</formula>
    </cfRule>
  </conditionalFormatting>
  <conditionalFormatting sqref="F40">
    <cfRule type="expression" dxfId="15" priority="5" stopIfTrue="1">
      <formula>$E$40&gt;=0</formula>
    </cfRule>
    <cfRule type="expression" dxfId="14" priority="6" stopIfTrue="1">
      <formula>$E$40&lt;0</formula>
    </cfRule>
  </conditionalFormatting>
  <conditionalFormatting sqref="J39">
    <cfRule type="expression" dxfId="13" priority="7" stopIfTrue="1">
      <formula>$I$39&gt;=$J$37</formula>
    </cfRule>
    <cfRule type="expression" dxfId="12" priority="8" stopIfTrue="1">
      <formula>$I$39&lt;$J$37</formula>
    </cfRule>
  </conditionalFormatting>
  <conditionalFormatting sqref="J38">
    <cfRule type="expression" dxfId="11" priority="9" stopIfTrue="1">
      <formula>$I$38&gt;=$J$36</formula>
    </cfRule>
    <cfRule type="expression" dxfId="10" priority="10" stopIfTrue="1">
      <formula>$I$38&lt;$J$36</formula>
    </cfRule>
  </conditionalFormatting>
  <pageMargins left="0.74791666666666667" right="0.74791666666666667" top="0.98402777777777772" bottom="0.98402777777777772" header="0.51180555555555551" footer="0.51180555555555551"/>
  <pageSetup paperSize="9" firstPageNumber="0" orientation="landscape" horizontalDpi="300" verticalDpi="300" r:id="rId1"/>
  <headerFooter alignWithMargins="0"/>
  <drawing r:id="rId2"/>
  <legacyDrawing r:id="rId3"/>
  <oleObjects>
    <mc:AlternateContent xmlns:mc="http://schemas.openxmlformats.org/markup-compatibility/2006">
      <mc:Choice Requires="x14">
        <oleObject progId="Visio.Drawing.11" shapeId="11266" r:id="rId4">
          <objectPr defaultSize="0" autoPict="0" r:id="rId5">
            <anchor moveWithCells="1" sizeWithCells="1">
              <from>
                <xdr:col>13</xdr:col>
                <xdr:colOff>365760</xdr:colOff>
                <xdr:row>42</xdr:row>
                <xdr:rowOff>30480</xdr:rowOff>
              </from>
              <to>
                <xdr:col>19</xdr:col>
                <xdr:colOff>297180</xdr:colOff>
                <xdr:row>61</xdr:row>
                <xdr:rowOff>106680</xdr:rowOff>
              </to>
            </anchor>
          </objectPr>
        </oleObject>
      </mc:Choice>
      <mc:Fallback>
        <oleObject progId="Visio.Drawing.11" shapeId="11266" r:id="rId4"/>
      </mc:Fallback>
    </mc:AlternateContent>
    <mc:AlternateContent xmlns:mc="http://schemas.openxmlformats.org/markup-compatibility/2006">
      <mc:Choice Requires="x14">
        <oleObject progId="Visio.Drawing.11" shapeId="11267" r:id="rId6">
          <objectPr defaultSize="0" autoPict="0" r:id="rId7">
            <anchor moveWithCells="1">
              <from>
                <xdr:col>15</xdr:col>
                <xdr:colOff>464820</xdr:colOff>
                <xdr:row>12</xdr:row>
                <xdr:rowOff>160020</xdr:rowOff>
              </from>
              <to>
                <xdr:col>17</xdr:col>
                <xdr:colOff>998220</xdr:colOff>
                <xdr:row>27</xdr:row>
                <xdr:rowOff>220980</xdr:rowOff>
              </to>
            </anchor>
          </objectPr>
        </oleObject>
      </mc:Choice>
      <mc:Fallback>
        <oleObject progId="Visio.Drawing.11" shapeId="11267" r:id="rId6"/>
      </mc:Fallback>
    </mc:AlternateContent>
  </oleObjects>
  <mc:AlternateContent xmlns:mc="http://schemas.openxmlformats.org/markup-compatibility/2006">
    <mc:Choice Requires="x14">
      <controls>
        <mc:AlternateContent xmlns:mc="http://schemas.openxmlformats.org/markup-compatibility/2006">
          <mc:Choice Requires="x14">
            <control shapeId="11265" r:id="rId8" name="Button 1">
              <controlPr defaultSize="0" print="0" autoFill="0" autoPict="0" macro="[0]!Cyl_Stab_Ult_MS">
                <anchor moveWithCells="1" sizeWithCells="1">
                  <from>
                    <xdr:col>8</xdr:col>
                    <xdr:colOff>685800</xdr:colOff>
                    <xdr:row>53</xdr:row>
                    <xdr:rowOff>251460</xdr:rowOff>
                  </from>
                  <to>
                    <xdr:col>8</xdr:col>
                    <xdr:colOff>1516380</xdr:colOff>
                    <xdr:row>55</xdr:row>
                    <xdr:rowOff>0</xdr:rowOff>
                  </to>
                </anchor>
              </controlPr>
            </control>
          </mc:Choice>
        </mc:AlternateContent>
        <mc:AlternateContent xmlns:mc="http://schemas.openxmlformats.org/markup-compatibility/2006">
          <mc:Choice Requires="x14">
            <control shapeId="11268" r:id="rId9" name="Button 4">
              <controlPr defaultSize="0" print="0" autoFill="0" autoPict="0" macro="[0]!Axial_Freq">
                <anchor moveWithCells="1" sizeWithCells="1">
                  <from>
                    <xdr:col>7</xdr:col>
                    <xdr:colOff>4343400</xdr:colOff>
                    <xdr:row>37</xdr:row>
                    <xdr:rowOff>22860</xdr:rowOff>
                  </from>
                  <to>
                    <xdr:col>8</xdr:col>
                    <xdr:colOff>457200</xdr:colOff>
                    <xdr:row>37</xdr:row>
                    <xdr:rowOff>182880</xdr:rowOff>
                  </to>
                </anchor>
              </controlPr>
            </control>
          </mc:Choice>
        </mc:AlternateContent>
        <mc:AlternateContent xmlns:mc="http://schemas.openxmlformats.org/markup-compatibility/2006">
          <mc:Choice Requires="x14">
            <control shapeId="11269" r:id="rId10" name="Button 5">
              <controlPr defaultSize="0" print="0" autoFill="0" autoPict="0" macro="[0]!Lateral_Freq">
                <anchor moveWithCells="1" sizeWithCells="1">
                  <from>
                    <xdr:col>7</xdr:col>
                    <xdr:colOff>4351020</xdr:colOff>
                    <xdr:row>37</xdr:row>
                    <xdr:rowOff>198120</xdr:rowOff>
                  </from>
                  <to>
                    <xdr:col>8</xdr:col>
                    <xdr:colOff>457200</xdr:colOff>
                    <xdr:row>38</xdr:row>
                    <xdr:rowOff>182880</xdr:rowOff>
                  </to>
                </anchor>
              </controlPr>
            </control>
          </mc:Choice>
        </mc:AlternateContent>
        <mc:AlternateContent xmlns:mc="http://schemas.openxmlformats.org/markup-compatibility/2006">
          <mc:Choice Requires="x14">
            <control shapeId="11270" r:id="rId11" name="Button 6">
              <controlPr defaultSize="0" print="0" autoFill="0" autoPict="0" macro="[0]!Applied_Ult_MS">
                <anchor moveWithCells="1" sizeWithCells="1">
                  <from>
                    <xdr:col>3</xdr:col>
                    <xdr:colOff>617220</xdr:colOff>
                    <xdr:row>38</xdr:row>
                    <xdr:rowOff>7620</xdr:rowOff>
                  </from>
                  <to>
                    <xdr:col>4</xdr:col>
                    <xdr:colOff>152400</xdr:colOff>
                    <xdr:row>39</xdr:row>
                    <xdr:rowOff>7620</xdr:rowOff>
                  </to>
                </anchor>
              </controlPr>
            </control>
          </mc:Choice>
        </mc:AlternateContent>
        <mc:AlternateContent xmlns:mc="http://schemas.openxmlformats.org/markup-compatibility/2006">
          <mc:Choice Requires="x14">
            <control shapeId="11271" r:id="rId12" name="Button 7">
              <controlPr defaultSize="0" print="0" autoFill="0" autoPict="0" macro="[0]!Applied_Yld_MS">
                <anchor moveWithCells="1" sizeWithCells="1">
                  <from>
                    <xdr:col>3</xdr:col>
                    <xdr:colOff>617220</xdr:colOff>
                    <xdr:row>39</xdr:row>
                    <xdr:rowOff>60960</xdr:rowOff>
                  </from>
                  <to>
                    <xdr:col>4</xdr:col>
                    <xdr:colOff>144780</xdr:colOff>
                    <xdr:row>39</xdr:row>
                    <xdr:rowOff>274320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Constants!$A$19:$A$27</xm:f>
          </x14:formula1>
          <xm:sqref>E22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theme="8" tint="-0.249977111117893"/>
    <pageSetUpPr fitToPage="1"/>
  </sheetPr>
  <dimension ref="A1:AS269"/>
  <sheetViews>
    <sheetView zoomScale="55" zoomScaleNormal="55" workbookViewId="0">
      <pane ySplit="10" topLeftCell="A17" activePane="bottomLeft" state="frozen"/>
      <selection activeCell="Q9" sqref="Q9"/>
      <selection pane="bottomLeft" activeCell="J24" sqref="J24"/>
    </sheetView>
  </sheetViews>
  <sheetFormatPr defaultColWidth="7.1796875" defaultRowHeight="13.2"/>
  <cols>
    <col min="1" max="1" width="7.36328125" style="58" customWidth="1"/>
    <col min="2" max="2" width="8.453125" style="58" customWidth="1"/>
    <col min="3" max="3" width="35.81640625" style="58" customWidth="1"/>
    <col min="4" max="4" width="10.54296875" style="58" customWidth="1"/>
    <col min="5" max="5" width="15.54296875" style="58" bestFit="1" customWidth="1"/>
    <col min="6" max="6" width="13.1796875" style="58" customWidth="1"/>
    <col min="7" max="7" width="9.90625" style="58" customWidth="1"/>
    <col min="8" max="8" width="41.453125" style="58" customWidth="1"/>
    <col min="9" max="9" width="12.08984375" style="379" bestFit="1" customWidth="1"/>
    <col min="10" max="10" width="15.36328125" style="379" bestFit="1" customWidth="1"/>
    <col min="11" max="11" width="13.6328125" style="242" customWidth="1"/>
    <col min="12" max="13" width="12.54296875" style="58" customWidth="1"/>
    <col min="14" max="14" width="45.1796875" style="58" customWidth="1"/>
    <col min="15" max="15" width="10.453125" style="58" customWidth="1"/>
    <col min="16" max="16" width="10.36328125" style="58" customWidth="1"/>
    <col min="17" max="17" width="14.36328125" style="58" customWidth="1"/>
    <col min="18" max="18" width="14.54296875" style="58" customWidth="1"/>
    <col min="19" max="19" width="15.08984375" style="58" customWidth="1"/>
    <col min="20" max="20" width="15.36328125" style="58" bestFit="1" customWidth="1"/>
    <col min="21" max="21" width="7.36328125" style="58" customWidth="1"/>
    <col min="22" max="22" width="17.08984375" style="58" customWidth="1"/>
    <col min="23" max="23" width="12.36328125" style="58" customWidth="1"/>
    <col min="24" max="16384" width="7.1796875" style="58"/>
  </cols>
  <sheetData>
    <row r="1" spans="1:21" ht="20.100000000000001" customHeight="1">
      <c r="A1" s="56"/>
      <c r="B1" s="56"/>
      <c r="C1" s="57"/>
      <c r="D1" s="57"/>
      <c r="E1" s="56"/>
      <c r="F1" s="57"/>
      <c r="G1" s="57"/>
      <c r="H1" s="57"/>
      <c r="I1" s="57"/>
      <c r="J1" s="57"/>
      <c r="K1" s="57"/>
      <c r="L1" s="57"/>
      <c r="M1" s="57"/>
      <c r="N1" s="57"/>
      <c r="O1" s="57"/>
      <c r="P1" s="57"/>
      <c r="Q1" s="57"/>
      <c r="R1" s="56"/>
      <c r="S1" s="56"/>
      <c r="T1" s="56"/>
      <c r="U1" s="56"/>
    </row>
    <row r="2" spans="1:21" ht="20.100000000000001" customHeight="1">
      <c r="A2" s="57"/>
      <c r="B2" s="57"/>
      <c r="C2" s="57"/>
      <c r="D2" s="57"/>
      <c r="E2" s="502"/>
      <c r="F2" s="503"/>
      <c r="G2" s="503"/>
      <c r="H2" s="503"/>
      <c r="I2" s="503"/>
      <c r="J2" s="57"/>
      <c r="K2" s="57"/>
      <c r="L2" s="57"/>
      <c r="M2" s="57"/>
      <c r="N2" s="57"/>
      <c r="O2" s="57"/>
      <c r="P2" s="57"/>
      <c r="Q2" s="57"/>
      <c r="R2" s="56"/>
      <c r="S2" s="56"/>
      <c r="T2" s="56"/>
      <c r="U2" s="56"/>
    </row>
    <row r="3" spans="1:21" ht="12.75" customHeight="1">
      <c r="A3" s="57"/>
      <c r="B3" s="57"/>
      <c r="C3" s="57"/>
      <c r="D3" s="57"/>
      <c r="E3" s="503"/>
      <c r="F3" s="503"/>
      <c r="G3" s="503"/>
      <c r="H3" s="503"/>
      <c r="I3" s="503"/>
      <c r="J3" s="57"/>
      <c r="K3" s="57"/>
      <c r="L3" s="57"/>
      <c r="M3" s="57"/>
      <c r="N3" s="57"/>
      <c r="O3" s="57"/>
      <c r="P3" s="57"/>
      <c r="Q3" s="57"/>
      <c r="R3" s="56"/>
      <c r="S3" s="56"/>
      <c r="T3" s="56"/>
      <c r="U3" s="56"/>
    </row>
    <row r="4" spans="1:21" ht="12.75" customHeight="1">
      <c r="A4" s="57"/>
      <c r="B4" s="57"/>
      <c r="C4" s="57"/>
      <c r="D4" s="57"/>
      <c r="E4" s="503"/>
      <c r="F4" s="503"/>
      <c r="G4" s="503"/>
      <c r="H4" s="503"/>
      <c r="I4" s="503"/>
      <c r="J4" s="57"/>
      <c r="K4" s="57"/>
      <c r="L4" s="57"/>
      <c r="M4" s="57"/>
      <c r="N4" s="57"/>
      <c r="O4" s="57"/>
      <c r="P4" s="57"/>
      <c r="Q4" s="57"/>
      <c r="R4" s="56"/>
      <c r="S4" s="56"/>
      <c r="T4" s="56"/>
      <c r="U4" s="56"/>
    </row>
    <row r="5" spans="1:21" ht="12.75" customHeight="1">
      <c r="A5" s="57"/>
      <c r="B5" s="57"/>
      <c r="C5" s="57"/>
      <c r="D5" s="57"/>
      <c r="E5" s="503"/>
      <c r="F5" s="503"/>
      <c r="G5" s="503"/>
      <c r="H5" s="503"/>
      <c r="I5" s="503"/>
      <c r="J5" s="57"/>
      <c r="K5" s="57"/>
      <c r="L5" s="57"/>
      <c r="M5" s="57"/>
      <c r="N5" s="57"/>
      <c r="O5" s="57"/>
      <c r="P5" s="57"/>
      <c r="Q5" s="57"/>
      <c r="R5" s="56"/>
      <c r="S5" s="56"/>
      <c r="T5" s="56"/>
      <c r="U5" s="56"/>
    </row>
    <row r="6" spans="1:21" ht="12.75" customHeight="1">
      <c r="A6" s="57"/>
      <c r="B6" s="57"/>
      <c r="C6" s="57"/>
      <c r="D6" s="57"/>
      <c r="E6" s="503"/>
      <c r="F6" s="503"/>
      <c r="G6" s="503"/>
      <c r="H6" s="503"/>
      <c r="I6" s="503"/>
      <c r="J6" s="57"/>
      <c r="K6" s="57"/>
      <c r="L6" s="57"/>
      <c r="M6" s="57"/>
      <c r="N6" s="57"/>
      <c r="O6" s="57"/>
      <c r="P6" s="57"/>
      <c r="Q6" s="57"/>
      <c r="R6" s="56"/>
      <c r="S6" s="56"/>
      <c r="T6" s="56"/>
      <c r="U6" s="56"/>
    </row>
    <row r="7" spans="1:21" ht="21" customHeight="1">
      <c r="A7" s="59"/>
      <c r="B7" s="59"/>
      <c r="C7" s="60"/>
      <c r="D7" s="60"/>
      <c r="E7" s="503"/>
      <c r="F7" s="503"/>
      <c r="G7" s="503"/>
      <c r="H7" s="503"/>
      <c r="I7" s="503"/>
      <c r="J7" s="57"/>
      <c r="K7" s="57"/>
      <c r="L7" s="57"/>
      <c r="M7" s="57"/>
      <c r="N7" s="57"/>
      <c r="O7" s="57"/>
      <c r="P7" s="57"/>
      <c r="Q7" s="57"/>
      <c r="R7" s="56"/>
      <c r="S7" s="56"/>
      <c r="T7" s="56"/>
      <c r="U7" s="56"/>
    </row>
    <row r="8" spans="1:21" ht="12.75" hidden="1" customHeight="1">
      <c r="A8" s="60"/>
      <c r="B8" s="60"/>
      <c r="C8" s="60"/>
      <c r="D8" s="60"/>
      <c r="E8" s="57"/>
      <c r="F8" s="57"/>
      <c r="G8" s="57"/>
      <c r="H8" s="57"/>
      <c r="I8" s="57"/>
      <c r="J8" s="57"/>
      <c r="K8" s="57"/>
      <c r="L8" s="57"/>
      <c r="M8" s="57"/>
      <c r="N8" s="57"/>
      <c r="O8" s="57"/>
      <c r="P8" s="57"/>
      <c r="Q8" s="57"/>
      <c r="R8" s="56"/>
      <c r="S8" s="56"/>
      <c r="T8" s="56"/>
      <c r="U8" s="56"/>
    </row>
    <row r="9" spans="1:21" ht="12.75" hidden="1" customHeight="1">
      <c r="A9" s="60"/>
      <c r="B9" s="60"/>
      <c r="C9" s="60"/>
      <c r="D9" s="60"/>
      <c r="E9" s="60"/>
      <c r="F9" s="60"/>
      <c r="G9" s="60"/>
      <c r="H9" s="60"/>
      <c r="I9" s="57"/>
      <c r="J9" s="57"/>
      <c r="K9" s="57"/>
      <c r="L9" s="60"/>
      <c r="M9" s="60"/>
      <c r="N9" s="60"/>
      <c r="O9" s="60"/>
      <c r="P9" s="60"/>
      <c r="Q9" s="60"/>
      <c r="R9" s="56"/>
      <c r="S9" s="56"/>
      <c r="T9" s="56"/>
      <c r="U9" s="56"/>
    </row>
    <row r="10" spans="1:21" s="63" customFormat="1" hidden="1">
      <c r="A10" s="61"/>
      <c r="B10" s="61"/>
      <c r="C10" s="61"/>
      <c r="D10" s="61"/>
      <c r="E10" s="61"/>
      <c r="F10" s="61"/>
      <c r="G10" s="61"/>
      <c r="H10" s="61"/>
      <c r="I10" s="243"/>
      <c r="J10" s="243"/>
      <c r="K10" s="62"/>
      <c r="L10" s="61"/>
      <c r="M10" s="61"/>
      <c r="N10" s="61"/>
      <c r="O10" s="61"/>
      <c r="P10" s="61"/>
      <c r="Q10" s="61"/>
      <c r="R10" s="61"/>
      <c r="S10" s="61"/>
      <c r="T10" s="61"/>
      <c r="U10" s="61"/>
    </row>
    <row r="11" spans="1:21" s="66" customFormat="1" ht="18.75" customHeight="1">
      <c r="A11" s="64"/>
      <c r="B11" s="64"/>
      <c r="C11" s="64"/>
      <c r="D11" s="64"/>
      <c r="E11" s="64"/>
      <c r="F11" s="64"/>
      <c r="G11" s="64"/>
      <c r="H11" s="64"/>
      <c r="I11" s="244"/>
      <c r="J11" s="244"/>
      <c r="K11" s="65"/>
      <c r="L11" s="64"/>
      <c r="M11" s="64"/>
      <c r="N11" s="64"/>
      <c r="O11" s="64"/>
      <c r="P11" s="64"/>
      <c r="Q11" s="64"/>
      <c r="R11" s="64"/>
      <c r="S11" s="64"/>
      <c r="T11" s="64"/>
      <c r="U11" s="64"/>
    </row>
    <row r="12" spans="1:21" s="66" customFormat="1" ht="18.75" customHeight="1" thickBot="1">
      <c r="A12" s="64"/>
      <c r="B12" s="64"/>
      <c r="C12" s="64"/>
      <c r="D12" s="64"/>
      <c r="E12" s="64"/>
      <c r="F12" s="64"/>
      <c r="G12" s="64"/>
      <c r="H12" s="64"/>
      <c r="I12" s="244"/>
      <c r="J12" s="244"/>
      <c r="K12" s="65"/>
      <c r="L12" s="64"/>
      <c r="M12" s="64"/>
      <c r="N12" s="64"/>
      <c r="O12" s="64"/>
      <c r="P12" s="64"/>
      <c r="Q12" s="64"/>
      <c r="R12" s="64"/>
      <c r="S12" s="64"/>
      <c r="T12" s="64"/>
      <c r="U12" s="64"/>
    </row>
    <row r="13" spans="1:21" s="66" customFormat="1" ht="25.8" thickTop="1" thickBot="1">
      <c r="A13" s="64"/>
      <c r="B13" s="525" t="s">
        <v>13</v>
      </c>
      <c r="C13" s="526"/>
      <c r="D13" s="526"/>
      <c r="E13" s="526"/>
      <c r="F13" s="527"/>
      <c r="G13" s="539" t="s">
        <v>25</v>
      </c>
      <c r="H13" s="540"/>
      <c r="I13" s="540"/>
      <c r="J13" s="540"/>
      <c r="K13" s="541"/>
      <c r="L13" s="245"/>
      <c r="M13" s="245" t="s">
        <v>111</v>
      </c>
      <c r="N13" s="245"/>
      <c r="O13" s="64"/>
      <c r="P13" s="64"/>
      <c r="Q13" s="64"/>
      <c r="R13" s="64"/>
      <c r="S13" s="64"/>
      <c r="T13" s="64"/>
      <c r="U13" s="64"/>
    </row>
    <row r="14" spans="1:21" s="66" customFormat="1" ht="21.6" thickTop="1" thickBot="1">
      <c r="A14" s="68"/>
      <c r="B14" s="84"/>
      <c r="C14" s="246"/>
      <c r="D14" s="85"/>
      <c r="E14" s="85"/>
      <c r="F14" s="87"/>
      <c r="G14" s="247"/>
      <c r="H14" s="248" t="s">
        <v>107</v>
      </c>
      <c r="I14" s="249"/>
      <c r="J14" s="250"/>
      <c r="K14" s="251"/>
      <c r="L14" s="245"/>
      <c r="M14" s="245"/>
      <c r="N14" s="245"/>
      <c r="O14" s="69"/>
      <c r="P14" s="252" t="s">
        <v>22</v>
      </c>
      <c r="Q14" s="253" t="s">
        <v>312</v>
      </c>
      <c r="R14" s="254" t="s">
        <v>313</v>
      </c>
      <c r="S14" s="255" t="s">
        <v>314</v>
      </c>
      <c r="T14" s="254" t="s">
        <v>315</v>
      </c>
      <c r="U14" s="73"/>
    </row>
    <row r="15" spans="1:21" s="66" customFormat="1" ht="18.75" customHeight="1">
      <c r="A15" s="68"/>
      <c r="B15" s="84" t="s">
        <v>26</v>
      </c>
      <c r="C15" s="246" t="s">
        <v>112</v>
      </c>
      <c r="D15" s="86">
        <v>3</v>
      </c>
      <c r="E15" s="85">
        <f>IF(D15&lt;&gt;"", D15, "")</f>
        <v>3</v>
      </c>
      <c r="F15" s="87" t="s">
        <v>28</v>
      </c>
      <c r="G15" s="88" t="s">
        <v>31</v>
      </c>
      <c r="H15" s="99" t="s">
        <v>32</v>
      </c>
      <c r="I15" s="256">
        <v>-4.9989780824730871E-2</v>
      </c>
      <c r="J15" s="257">
        <f>IF(I15&lt;&gt;"",I15,0)</f>
        <v>-4.9989780824730871E-2</v>
      </c>
      <c r="K15" s="258" t="s">
        <v>33</v>
      </c>
      <c r="L15" s="259"/>
      <c r="M15" s="259"/>
      <c r="N15" s="259"/>
      <c r="O15" s="542" t="s">
        <v>113</v>
      </c>
      <c r="P15" s="260">
        <f>IF(J21&gt;0, 1,"")</f>
        <v>1</v>
      </c>
      <c r="Q15" s="261">
        <f>IF(AND(P15&lt;&gt;"",E17&lt;&gt;""), $E$17/2, "")</f>
        <v>1.5</v>
      </c>
      <c r="R15" s="262">
        <f>IF(AND(P15&lt;&gt;"",E16&lt;&gt;""), $E$16/2, "")</f>
        <v>1.5</v>
      </c>
      <c r="S15" s="263">
        <f>IF(Q15&lt;&gt;"", Q15*Q15, "")</f>
        <v>2.25</v>
      </c>
      <c r="T15" s="264">
        <f>IF(R15&lt;&gt;"", R15*R15, "")</f>
        <v>2.25</v>
      </c>
      <c r="U15" s="73"/>
    </row>
    <row r="16" spans="1:21" s="66" customFormat="1" ht="18.75" customHeight="1">
      <c r="A16" s="64"/>
      <c r="B16" s="84" t="s">
        <v>114</v>
      </c>
      <c r="C16" s="246" t="s">
        <v>115</v>
      </c>
      <c r="D16" s="86">
        <v>3</v>
      </c>
      <c r="E16" s="85">
        <f t="shared" ref="E16:E18" si="0">IF(D16&lt;&gt;"", D16, "")</f>
        <v>3</v>
      </c>
      <c r="F16" s="87" t="s">
        <v>28</v>
      </c>
      <c r="G16" s="88" t="s">
        <v>282</v>
      </c>
      <c r="H16" s="99" t="s">
        <v>38</v>
      </c>
      <c r="I16" s="265"/>
      <c r="J16" s="91">
        <f>IF(AND(E16&lt;&gt;"",J15&lt;&gt;"",E17&lt;&gt;""),100*100*E16*E17-(100*E16-2*J15)*(100*E17-2*J15),"")</f>
        <v>-59.997732902411371</v>
      </c>
      <c r="K16" s="258" t="s">
        <v>39</v>
      </c>
      <c r="L16" s="266" t="s">
        <v>116</v>
      </c>
      <c r="M16" s="266" t="s">
        <v>117</v>
      </c>
      <c r="N16" s="267"/>
      <c r="O16" s="543"/>
      <c r="P16" s="268">
        <f>IF(P15&lt;&gt;"",IF(J$21&gt;=P15+1,P15+1,""),"")</f>
        <v>2</v>
      </c>
      <c r="Q16" s="261">
        <f>IF(AND(P16&lt;&gt;"",E17&lt;&gt;""), -$E$17/2, "")</f>
        <v>-1.5</v>
      </c>
      <c r="R16" s="269">
        <f>IF(AND(P16&lt;&gt;"",E16&lt;&gt;""), $E$16/2, "")</f>
        <v>1.5</v>
      </c>
      <c r="S16" s="270">
        <f t="shared" ref="S16:T38" si="1">IF(Q16&lt;&gt;"", Q16*Q16, "")</f>
        <v>2.25</v>
      </c>
      <c r="T16" s="271">
        <f t="shared" si="1"/>
        <v>2.25</v>
      </c>
      <c r="U16" s="64"/>
    </row>
    <row r="17" spans="1:45" s="66" customFormat="1" ht="20.399999999999999">
      <c r="A17" s="64"/>
      <c r="B17" s="84" t="s">
        <v>118</v>
      </c>
      <c r="C17" s="246" t="s">
        <v>119</v>
      </c>
      <c r="D17" s="86">
        <v>3</v>
      </c>
      <c r="E17" s="85">
        <f t="shared" si="0"/>
        <v>3</v>
      </c>
      <c r="F17" s="87" t="s">
        <v>28</v>
      </c>
      <c r="G17" s="88" t="s">
        <v>316</v>
      </c>
      <c r="H17" s="99" t="s">
        <v>120</v>
      </c>
      <c r="I17" s="265"/>
      <c r="J17" s="91">
        <f>IF(J16&lt;&gt;"",100*E17*(100*E16)^3/12-(100*E17-J15)*(100*E16-J15)^3/12,"")</f>
        <v>-450020.49393379688</v>
      </c>
      <c r="K17" s="258" t="s">
        <v>42</v>
      </c>
      <c r="L17" s="272">
        <f>IF(J17&lt;&gt;"", J17, "")</f>
        <v>-450020.49393379688</v>
      </c>
      <c r="M17" s="272">
        <f>IF(J18&lt;&gt;"", J18,  "")</f>
        <v>-450020.49393379688</v>
      </c>
      <c r="N17" s="273" t="s">
        <v>107</v>
      </c>
      <c r="O17" s="543"/>
      <c r="P17" s="268">
        <f>IF(P16&lt;&gt;"",IF(J$21&gt;=P16+1,P16+1,""),"")</f>
        <v>3</v>
      </c>
      <c r="Q17" s="261">
        <f>IF(AND(P17&lt;&gt;"",E17&lt;&gt;""), -$E$17/2, "")</f>
        <v>-1.5</v>
      </c>
      <c r="R17" s="269">
        <f>IF(AND(P17&lt;&gt;"",E16&lt;&gt;""), -$E$16/2, "")</f>
        <v>-1.5</v>
      </c>
      <c r="S17" s="270">
        <f t="shared" si="1"/>
        <v>2.25</v>
      </c>
      <c r="T17" s="271">
        <f t="shared" si="1"/>
        <v>2.25</v>
      </c>
      <c r="U17" s="64"/>
    </row>
    <row r="18" spans="1:45" s="66" customFormat="1" ht="21" thickBot="1">
      <c r="A18" s="64"/>
      <c r="B18" s="84" t="s">
        <v>34</v>
      </c>
      <c r="C18" s="246" t="s">
        <v>35</v>
      </c>
      <c r="D18" s="86">
        <v>30</v>
      </c>
      <c r="E18" s="85">
        <f t="shared" si="0"/>
        <v>30</v>
      </c>
      <c r="F18" s="87" t="s">
        <v>36</v>
      </c>
      <c r="G18" s="88" t="s">
        <v>317</v>
      </c>
      <c r="H18" s="274" t="s">
        <v>121</v>
      </c>
      <c r="I18" s="265"/>
      <c r="J18" s="91">
        <f>IF(J16&lt;&gt;"",100*E16*(100*E17)^3/12-(100*E16-J15)*(100*E17-J15)^3/12,"")</f>
        <v>-450020.49393379688</v>
      </c>
      <c r="K18" s="258" t="s">
        <v>42</v>
      </c>
      <c r="L18" s="272">
        <f>IF(J23&lt;&gt;"", J23,  "")</f>
        <v>900000</v>
      </c>
      <c r="M18" s="272">
        <f>IF(J24&lt;&gt;"", J24,  "")</f>
        <v>900000</v>
      </c>
      <c r="N18" s="273" t="s">
        <v>122</v>
      </c>
      <c r="O18" s="543"/>
      <c r="P18" s="268">
        <f>IF(P17&lt;&gt;"",IF(J$21&gt;=P17+1,P17+1,""),"")</f>
        <v>4</v>
      </c>
      <c r="Q18" s="261">
        <f>IF(AND(P18&lt;&gt;"",E17&lt;&gt;""), $E$17/2, "")</f>
        <v>1.5</v>
      </c>
      <c r="R18" s="275">
        <f>IF(AND(P18&lt;&gt;"",E16&lt;&gt;""), -$E$16/2, "")</f>
        <v>-1.5</v>
      </c>
      <c r="S18" s="270">
        <f t="shared" si="1"/>
        <v>2.25</v>
      </c>
      <c r="T18" s="271">
        <f t="shared" si="1"/>
        <v>2.25</v>
      </c>
      <c r="U18" s="64"/>
    </row>
    <row r="19" spans="1:45" s="66" customFormat="1" ht="25.8" thickTop="1" thickBot="1">
      <c r="A19" s="64"/>
      <c r="B19" s="531" t="s">
        <v>37</v>
      </c>
      <c r="C19" s="532"/>
      <c r="D19" s="532"/>
      <c r="E19" s="532"/>
      <c r="F19" s="533"/>
      <c r="G19" s="531" t="s">
        <v>44</v>
      </c>
      <c r="H19" s="532"/>
      <c r="I19" s="532"/>
      <c r="J19" s="532"/>
      <c r="K19" s="533"/>
      <c r="L19" s="272">
        <f>IF(J28&lt;&gt;"", J28,  "")</f>
        <v>450000</v>
      </c>
      <c r="M19" s="272">
        <f>IF(J29&lt;&gt;"", J29,  "")</f>
        <v>0</v>
      </c>
      <c r="N19" s="273" t="s">
        <v>123</v>
      </c>
      <c r="O19" s="544" t="s">
        <v>124</v>
      </c>
      <c r="P19" s="276">
        <f>IF(J26&gt;0, 1,"")</f>
        <v>1</v>
      </c>
      <c r="Q19" s="277">
        <f>IF(AND(P19&lt;&gt;"",E17&lt;&gt;""), $E$17/(J26+1)-$E$17/2, "")</f>
        <v>0</v>
      </c>
      <c r="R19" s="278">
        <f>IF(AND(P19&lt;&gt;"",E16&lt;&gt;""), $E$16/2, "")</f>
        <v>1.5</v>
      </c>
      <c r="S19" s="279">
        <f t="shared" si="1"/>
        <v>0</v>
      </c>
      <c r="T19" s="280">
        <f t="shared" si="1"/>
        <v>2.25</v>
      </c>
      <c r="U19" s="64"/>
    </row>
    <row r="20" spans="1:45" s="66" customFormat="1" ht="22.5" customHeight="1" thickTop="1">
      <c r="A20" s="64"/>
      <c r="B20" s="102" t="s">
        <v>283</v>
      </c>
      <c r="C20" s="281" t="s">
        <v>40</v>
      </c>
      <c r="D20" s="103"/>
      <c r="E20" s="104">
        <f>IF(AND(E15&lt;&gt;"",E16&lt;&gt;"", E17&lt;&gt;""),AVERAGE(E15*E16, E15*E17, E16*E17),"")</f>
        <v>9</v>
      </c>
      <c r="F20" s="282" t="s">
        <v>41</v>
      </c>
      <c r="G20" s="247"/>
      <c r="H20" s="248" t="s">
        <v>46</v>
      </c>
      <c r="I20" s="283"/>
      <c r="J20" s="250"/>
      <c r="K20" s="251"/>
      <c r="L20" s="272">
        <f>IF(J33&lt;&gt;"", J33,  "")</f>
        <v>0</v>
      </c>
      <c r="M20" s="272">
        <f>IF(J34&lt;&gt;"", J34,  "")</f>
        <v>450000</v>
      </c>
      <c r="N20" s="273" t="s">
        <v>125</v>
      </c>
      <c r="O20" s="544"/>
      <c r="P20" s="268">
        <f>IF(J26&gt;0, 2,"")</f>
        <v>2</v>
      </c>
      <c r="Q20" s="261">
        <f>IF(AND(P20&lt;&gt;"",E17&lt;&gt;""), $E$17/(J26+1)-$E$17/2, "")</f>
        <v>0</v>
      </c>
      <c r="R20" s="284">
        <f>IF(AND(P20&lt;&gt;"",E16&lt;&gt;""), -$E$16/2, "")</f>
        <v>-1.5</v>
      </c>
      <c r="S20" s="270">
        <f t="shared" si="1"/>
        <v>0</v>
      </c>
      <c r="T20" s="271">
        <f t="shared" si="1"/>
        <v>2.25</v>
      </c>
      <c r="U20" s="64"/>
    </row>
    <row r="21" spans="1:45" s="66" customFormat="1" ht="18.75" customHeight="1" thickBot="1">
      <c r="A21" s="64"/>
      <c r="B21" s="102" t="s">
        <v>285</v>
      </c>
      <c r="C21" s="281" t="s">
        <v>43</v>
      </c>
      <c r="D21" s="103"/>
      <c r="E21" s="104">
        <f>IF(AND(E15&lt;&gt;"", E16&lt;&gt;"",E17&lt;&gt;""),2*(E15*E16+E16*E17+E15*E17),"")</f>
        <v>54</v>
      </c>
      <c r="F21" s="282" t="s">
        <v>41</v>
      </c>
      <c r="G21" s="88" t="s">
        <v>318</v>
      </c>
      <c r="H21" s="99" t="s">
        <v>126</v>
      </c>
      <c r="I21" s="285">
        <v>4</v>
      </c>
      <c r="J21" s="286">
        <f>IF(AND(J16&gt;J42, MIN(J17:J18)&gt;J43),0,IF(I21&gt;0,4,0))</f>
        <v>4</v>
      </c>
      <c r="K21" s="258"/>
      <c r="L21" s="287"/>
      <c r="M21" s="287"/>
      <c r="N21" s="259"/>
      <c r="O21" s="544"/>
      <c r="P21" s="268" t="str">
        <f>IF(J26&gt;1, 3,"")</f>
        <v/>
      </c>
      <c r="Q21" s="261" t="str">
        <f>IF(AND(P21&lt;&gt;"",E17&lt;&gt;""), 2*$E$17/(J26+1)-$E$17/2, "")</f>
        <v/>
      </c>
      <c r="R21" s="284" t="str">
        <f>IF(AND(P21&lt;&gt;"",E16&lt;&gt;""), $E$16/2, "")</f>
        <v/>
      </c>
      <c r="S21" s="270" t="str">
        <f t="shared" si="1"/>
        <v/>
      </c>
      <c r="T21" s="271" t="str">
        <f t="shared" si="1"/>
        <v/>
      </c>
      <c r="U21" s="64"/>
    </row>
    <row r="22" spans="1:45" s="66" customFormat="1" ht="25.8" thickTop="1" thickBot="1">
      <c r="A22" s="64"/>
      <c r="B22" s="531" t="s">
        <v>45</v>
      </c>
      <c r="C22" s="532"/>
      <c r="D22" s="532"/>
      <c r="E22" s="532"/>
      <c r="F22" s="533"/>
      <c r="G22" s="88" t="s">
        <v>319</v>
      </c>
      <c r="H22" s="99" t="s">
        <v>127</v>
      </c>
      <c r="I22" s="288">
        <v>10</v>
      </c>
      <c r="J22" s="112">
        <f>IF(J21&gt;0, IF(I22&lt;&gt;"", I22, ""),"")</f>
        <v>10</v>
      </c>
      <c r="K22" s="258" t="s">
        <v>39</v>
      </c>
      <c r="L22" s="287"/>
      <c r="M22" s="287"/>
      <c r="N22" s="259"/>
      <c r="O22" s="544"/>
      <c r="P22" s="268" t="str">
        <f>IF(J26&gt;1, 4,"")</f>
        <v/>
      </c>
      <c r="Q22" s="261" t="str">
        <f>IF(AND(P22&lt;&gt;"",E17&lt;&gt;""), 2*$E$17/(J26+1)-$E$17/2, "")</f>
        <v/>
      </c>
      <c r="R22" s="284" t="str">
        <f>IF(AND(P22&lt;&gt;"",E16&lt;&gt;""), -$E$16/2, "")</f>
        <v/>
      </c>
      <c r="S22" s="270" t="str">
        <f t="shared" si="1"/>
        <v/>
      </c>
      <c r="T22" s="271" t="str">
        <f t="shared" si="1"/>
        <v/>
      </c>
      <c r="U22" s="64"/>
    </row>
    <row r="23" spans="1:45" s="66" customFormat="1" ht="18.75" customHeight="1" thickTop="1">
      <c r="A23" s="64"/>
      <c r="B23" s="102"/>
      <c r="C23" s="107" t="s">
        <v>45</v>
      </c>
      <c r="D23" s="107"/>
      <c r="E23" s="108" t="s">
        <v>47</v>
      </c>
      <c r="F23" s="289"/>
      <c r="G23" s="88" t="s">
        <v>320</v>
      </c>
      <c r="H23" s="99" t="s">
        <v>128</v>
      </c>
      <c r="I23" s="265"/>
      <c r="J23" s="91">
        <f>IF(J22&lt;&gt;"",J22*100*100*SUM(T15:T18),"")</f>
        <v>900000</v>
      </c>
      <c r="K23" s="258" t="s">
        <v>42</v>
      </c>
      <c r="L23" s="287"/>
      <c r="M23" s="287"/>
      <c r="N23" s="259"/>
      <c r="O23" s="544"/>
      <c r="P23" s="268" t="str">
        <f>IF(J26&gt;2, 5,"")</f>
        <v/>
      </c>
      <c r="Q23" s="261" t="str">
        <f>IF(AND(P23&lt;&gt;"",E17&lt;&gt;""), 3*$E$17/(J26+1)-$E$17/2, "")</f>
        <v/>
      </c>
      <c r="R23" s="284" t="str">
        <f>IF(AND(P23&lt;&gt;"",E16&lt;&gt;""), $E$16/2, "")</f>
        <v/>
      </c>
      <c r="S23" s="270" t="str">
        <f t="shared" si="1"/>
        <v/>
      </c>
      <c r="T23" s="271" t="str">
        <f t="shared" si="1"/>
        <v/>
      </c>
      <c r="U23" s="64"/>
    </row>
    <row r="24" spans="1:45" s="66" customFormat="1" ht="18.75" customHeight="1">
      <c r="A24" s="64"/>
      <c r="B24" s="102" t="s">
        <v>49</v>
      </c>
      <c r="C24" s="107" t="s">
        <v>50</v>
      </c>
      <c r="D24" s="107"/>
      <c r="E24" s="108">
        <f>VLOOKUP($E$23,Constants!$A$19:$G$27,2,FALSE)</f>
        <v>2800</v>
      </c>
      <c r="F24" s="289" t="s">
        <v>51</v>
      </c>
      <c r="G24" s="88" t="s">
        <v>321</v>
      </c>
      <c r="H24" s="99" t="s">
        <v>129</v>
      </c>
      <c r="I24" s="265"/>
      <c r="J24" s="91">
        <f>IF(J22&lt;&gt;"",J22*100*100*SUM(S15:S18),"")</f>
        <v>900000</v>
      </c>
      <c r="K24" s="258" t="s">
        <v>42</v>
      </c>
      <c r="L24" s="290"/>
      <c r="M24" s="290"/>
      <c r="N24" s="291"/>
      <c r="O24" s="544"/>
      <c r="P24" s="268" t="str">
        <f>IF(J26&gt;2, 6,"")</f>
        <v/>
      </c>
      <c r="Q24" s="261" t="str">
        <f>IF(AND(P24&lt;&gt;"",E17&lt;&gt;""), 3*$E$17/(J26+1)-$E$17/2, "")</f>
        <v/>
      </c>
      <c r="R24" s="284" t="str">
        <f>IF(AND(P24&lt;&gt;"",E16&lt;&gt;""), -$E$16/2, "")</f>
        <v/>
      </c>
      <c r="S24" s="270" t="str">
        <f t="shared" si="1"/>
        <v/>
      </c>
      <c r="T24" s="271" t="str">
        <f t="shared" si="1"/>
        <v/>
      </c>
      <c r="U24" s="64"/>
    </row>
    <row r="25" spans="1:45" s="66" customFormat="1" ht="18.75" customHeight="1">
      <c r="A25" s="64"/>
      <c r="B25" s="102" t="s">
        <v>287</v>
      </c>
      <c r="C25" s="107" t="s">
        <v>53</v>
      </c>
      <c r="D25" s="107"/>
      <c r="E25" s="108">
        <f>VLOOKUP($E$23,Constants!$A$19:$G$27,3,FALSE)</f>
        <v>524</v>
      </c>
      <c r="F25" s="289" t="s">
        <v>54</v>
      </c>
      <c r="G25" s="106"/>
      <c r="H25" s="103"/>
      <c r="I25" s="292"/>
      <c r="J25" s="293"/>
      <c r="K25" s="294"/>
      <c r="L25" s="290"/>
      <c r="M25" s="290"/>
      <c r="N25" s="291"/>
      <c r="O25" s="544"/>
      <c r="P25" s="268" t="str">
        <f>IF(J26&gt;3, 7,"")</f>
        <v/>
      </c>
      <c r="Q25" s="261" t="str">
        <f>IF(AND(P25&lt;&gt;"",E17&lt;&gt;""), 4*$E$17/(J26+1)-$E$17/2, "")</f>
        <v/>
      </c>
      <c r="R25" s="284" t="str">
        <f>IF(AND(P25&lt;&gt;"",E16&lt;&gt;""), $E$16/2, "")</f>
        <v/>
      </c>
      <c r="S25" s="270" t="str">
        <f t="shared" si="1"/>
        <v/>
      </c>
      <c r="T25" s="271" t="str">
        <f t="shared" si="1"/>
        <v/>
      </c>
      <c r="U25" s="64"/>
    </row>
    <row r="26" spans="1:45" s="66" customFormat="1" ht="18.75" customHeight="1">
      <c r="A26" s="64"/>
      <c r="B26" s="102" t="s">
        <v>56</v>
      </c>
      <c r="C26" s="107" t="s">
        <v>57</v>
      </c>
      <c r="D26" s="107"/>
      <c r="E26" s="108">
        <f>VLOOKUP($E$23,Constants!$A$19:$G$27,4,FALSE)</f>
        <v>71</v>
      </c>
      <c r="F26" s="289" t="s">
        <v>58</v>
      </c>
      <c r="G26" s="88" t="s">
        <v>322</v>
      </c>
      <c r="H26" s="99" t="s">
        <v>130</v>
      </c>
      <c r="I26" s="288">
        <v>1</v>
      </c>
      <c r="J26" s="111">
        <f>IF(AND(J16&gt;J42, MIN(J17:J18)&gt;J43),0,IF(I26&lt;&gt;"",IF(I26&lt;0,0,IF(I26&gt;5, 5, I26)),0))</f>
        <v>1</v>
      </c>
      <c r="K26" s="258"/>
      <c r="L26" s="290"/>
      <c r="M26" s="290"/>
      <c r="N26" s="291"/>
      <c r="O26" s="544"/>
      <c r="P26" s="268" t="str">
        <f>IF(J26&gt;3, 8,"")</f>
        <v/>
      </c>
      <c r="Q26" s="261" t="str">
        <f>IF(AND(P26&lt;&gt;"",E17&lt;&gt;""), 4*$E$17/(J26+1)-$E$17/2, "")</f>
        <v/>
      </c>
      <c r="R26" s="284" t="str">
        <f>IF(AND(P26&lt;&gt;"",E16&lt;&gt;""), -$E$16/2, "")</f>
        <v/>
      </c>
      <c r="S26" s="270" t="str">
        <f t="shared" si="1"/>
        <v/>
      </c>
      <c r="T26" s="271" t="str">
        <f t="shared" si="1"/>
        <v/>
      </c>
      <c r="U26" s="64"/>
    </row>
    <row r="27" spans="1:45" ht="18.75" customHeight="1">
      <c r="A27" s="64"/>
      <c r="B27" s="102" t="s">
        <v>289</v>
      </c>
      <c r="C27" s="107" t="s">
        <v>59</v>
      </c>
      <c r="D27" s="107"/>
      <c r="E27" s="108">
        <f>VLOOKUP($E$23,Constants!$A$19:$G$27,5,FALSE)</f>
        <v>448</v>
      </c>
      <c r="F27" s="289" t="s">
        <v>54</v>
      </c>
      <c r="G27" s="88" t="s">
        <v>323</v>
      </c>
      <c r="H27" s="99" t="s">
        <v>131</v>
      </c>
      <c r="I27" s="288">
        <v>10</v>
      </c>
      <c r="J27" s="112">
        <f>IF(J26&gt;0, IF(I27&lt;&gt;"", I27, ""),"")</f>
        <v>10</v>
      </c>
      <c r="K27" s="258" t="s">
        <v>39</v>
      </c>
      <c r="L27" s="295"/>
      <c r="M27" s="295"/>
      <c r="N27" s="64"/>
      <c r="O27" s="544"/>
      <c r="P27" s="268" t="str">
        <f>IF(J26&gt;4, 9,"")</f>
        <v/>
      </c>
      <c r="Q27" s="261" t="str">
        <f>IF(AND(P27&lt;&gt;"",E17&lt;&gt;""), 5*$E$17/(J26+1)-$E$17/2, "")</f>
        <v/>
      </c>
      <c r="R27" s="284" t="str">
        <f>IF(AND(P27&lt;&gt;"",E16&lt;&gt;""), $E$16/2, "")</f>
        <v/>
      </c>
      <c r="S27" s="270" t="str">
        <f t="shared" si="1"/>
        <v/>
      </c>
      <c r="T27" s="271" t="str">
        <f t="shared" si="1"/>
        <v/>
      </c>
      <c r="U27" s="64"/>
      <c r="V27" s="66"/>
      <c r="W27" s="66"/>
      <c r="X27" s="66"/>
      <c r="Y27" s="66"/>
      <c r="Z27" s="66"/>
      <c r="AA27" s="66"/>
      <c r="AB27" s="66"/>
      <c r="AC27" s="66"/>
      <c r="AD27" s="66"/>
      <c r="AE27" s="66"/>
      <c r="AF27" s="66"/>
      <c r="AG27" s="66"/>
      <c r="AH27" s="66"/>
      <c r="AI27" s="66"/>
      <c r="AJ27" s="66"/>
      <c r="AK27" s="66"/>
      <c r="AL27" s="66"/>
      <c r="AM27" s="66"/>
      <c r="AN27" s="66"/>
      <c r="AO27" s="66"/>
      <c r="AP27" s="66"/>
      <c r="AQ27" s="66"/>
      <c r="AR27" s="66"/>
      <c r="AS27" s="66"/>
    </row>
    <row r="28" spans="1:45" ht="18.75" customHeight="1">
      <c r="A28" s="64"/>
      <c r="B28" s="102" t="s">
        <v>60</v>
      </c>
      <c r="C28" s="107" t="s">
        <v>61</v>
      </c>
      <c r="D28" s="107"/>
      <c r="E28" s="108">
        <f>VLOOKUP($E$23,Constants!$A$19:$G$27,6,FALSE)</f>
        <v>2.4000000000000001E-5</v>
      </c>
      <c r="F28" s="289" t="s">
        <v>62</v>
      </c>
      <c r="G28" s="88" t="s">
        <v>324</v>
      </c>
      <c r="H28" s="99" t="s">
        <v>132</v>
      </c>
      <c r="I28" s="265"/>
      <c r="J28" s="91">
        <f>IF(J27&lt;&gt;"",J27*100*100*SUM(T19:T28),"")</f>
        <v>450000</v>
      </c>
      <c r="K28" s="258" t="s">
        <v>42</v>
      </c>
      <c r="L28" s="295"/>
      <c r="M28" s="295"/>
      <c r="N28" s="64"/>
      <c r="O28" s="544"/>
      <c r="P28" s="268" t="str">
        <f>IF(J26&gt;4, 10,"")</f>
        <v/>
      </c>
      <c r="Q28" s="296" t="str">
        <f>IF(AND(P28&lt;&gt;"",E17&lt;&gt;""), 5*$E$17/(J26+1)-$E$17/2, "")</f>
        <v/>
      </c>
      <c r="R28" s="297" t="str">
        <f>IF(AND(P28&lt;&gt;"",E16&lt;&gt;""), -$E$16/2, "")</f>
        <v/>
      </c>
      <c r="S28" s="298" t="str">
        <f t="shared" si="1"/>
        <v/>
      </c>
      <c r="T28" s="299" t="str">
        <f t="shared" si="1"/>
        <v/>
      </c>
      <c r="U28" s="64"/>
      <c r="V28" s="66"/>
      <c r="W28" s="66"/>
      <c r="X28" s="66"/>
      <c r="Y28" s="66"/>
      <c r="Z28" s="66"/>
      <c r="AA28" s="66"/>
      <c r="AB28" s="66"/>
      <c r="AC28" s="66"/>
      <c r="AD28" s="66"/>
      <c r="AE28" s="66"/>
      <c r="AF28" s="66"/>
      <c r="AG28" s="66"/>
      <c r="AH28" s="66"/>
      <c r="AI28" s="66"/>
      <c r="AJ28" s="66"/>
      <c r="AK28" s="66"/>
      <c r="AL28" s="66"/>
      <c r="AM28" s="66"/>
      <c r="AN28" s="66"/>
      <c r="AO28" s="66"/>
      <c r="AP28" s="66"/>
      <c r="AQ28" s="66"/>
      <c r="AR28" s="66"/>
      <c r="AS28" s="66"/>
    </row>
    <row r="29" spans="1:45" ht="18.75" customHeight="1">
      <c r="A29" s="64"/>
      <c r="B29" s="102" t="s">
        <v>64</v>
      </c>
      <c r="C29" s="300" t="s">
        <v>65</v>
      </c>
      <c r="D29" s="107"/>
      <c r="E29" s="108">
        <f>VLOOKUP($E$23,Constants!$A$19:$G$27,7,FALSE)</f>
        <v>0.33</v>
      </c>
      <c r="F29" s="289" t="s">
        <v>11</v>
      </c>
      <c r="G29" s="88" t="s">
        <v>325</v>
      </c>
      <c r="H29" s="99" t="s">
        <v>133</v>
      </c>
      <c r="I29" s="265"/>
      <c r="J29" s="91">
        <f>IF(J27&lt;&gt;"",J27*100*100*SUM(S19:S28),"")</f>
        <v>0</v>
      </c>
      <c r="K29" s="258" t="s">
        <v>42</v>
      </c>
      <c r="L29" s="64"/>
      <c r="M29" s="64"/>
      <c r="N29" s="64"/>
      <c r="O29" s="544" t="s">
        <v>134</v>
      </c>
      <c r="P29" s="276">
        <f>IF(J31&gt;0, 1,"")</f>
        <v>1</v>
      </c>
      <c r="Q29" s="261">
        <f>IF(AND(P29&lt;&gt;"",E17&lt;&gt;""), $E$17/2, "")</f>
        <v>1.5</v>
      </c>
      <c r="R29" s="269">
        <f>IF(AND(P29&lt;&gt;"",E16&lt;&gt;""), $E$16/($J$31+1)-$E$16/2, "")</f>
        <v>0</v>
      </c>
      <c r="S29" s="270">
        <f t="shared" si="1"/>
        <v>2.25</v>
      </c>
      <c r="T29" s="271">
        <f t="shared" si="1"/>
        <v>0</v>
      </c>
      <c r="U29" s="64"/>
      <c r="V29" s="66"/>
      <c r="W29" s="66"/>
      <c r="X29" s="66"/>
      <c r="Y29" s="66"/>
      <c r="Z29" s="66"/>
      <c r="AA29" s="66"/>
      <c r="AB29" s="66"/>
      <c r="AC29" s="66"/>
      <c r="AD29" s="66"/>
      <c r="AE29" s="66"/>
      <c r="AF29" s="66"/>
      <c r="AG29" s="66"/>
      <c r="AH29" s="66"/>
      <c r="AI29" s="66"/>
      <c r="AJ29" s="66"/>
      <c r="AK29" s="66"/>
      <c r="AL29" s="66"/>
      <c r="AM29" s="66"/>
      <c r="AN29" s="66"/>
      <c r="AO29" s="66"/>
      <c r="AP29" s="66"/>
      <c r="AQ29" s="66"/>
      <c r="AR29" s="66"/>
      <c r="AS29" s="66"/>
    </row>
    <row r="30" spans="1:45" ht="18.75" customHeight="1">
      <c r="A30" s="64"/>
      <c r="B30" s="301"/>
      <c r="C30" s="302"/>
      <c r="D30" s="302"/>
      <c r="E30" s="303"/>
      <c r="F30" s="304"/>
      <c r="G30" s="305"/>
      <c r="H30" s="302"/>
      <c r="I30" s="306"/>
      <c r="J30" s="303"/>
      <c r="K30" s="304"/>
      <c r="L30" s="64"/>
      <c r="M30" s="64"/>
      <c r="N30" s="64"/>
      <c r="O30" s="544"/>
      <c r="P30" s="268">
        <f>IF(J31&gt;0, 2,"")</f>
        <v>2</v>
      </c>
      <c r="Q30" s="261">
        <f>IF(AND(P30&lt;&gt;"",E17&lt;&gt;""), -$E$17/2, "")</f>
        <v>-1.5</v>
      </c>
      <c r="R30" s="269">
        <f>IF(AND(P30&lt;&gt;"",E16&lt;&gt;""), $E$16/($J$31+1)-$E$16/2, "")</f>
        <v>0</v>
      </c>
      <c r="S30" s="270">
        <f t="shared" si="1"/>
        <v>2.25</v>
      </c>
      <c r="T30" s="271">
        <f t="shared" si="1"/>
        <v>0</v>
      </c>
      <c r="U30" s="64"/>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row>
    <row r="31" spans="1:45" ht="18.75" customHeight="1">
      <c r="A31" s="64"/>
      <c r="B31" s="307"/>
      <c r="C31" s="308" t="s">
        <v>135</v>
      </c>
      <c r="D31" s="308"/>
      <c r="E31" s="250"/>
      <c r="F31" s="251"/>
      <c r="G31" s="88" t="s">
        <v>326</v>
      </c>
      <c r="H31" s="99" t="s">
        <v>136</v>
      </c>
      <c r="I31" s="288">
        <v>1</v>
      </c>
      <c r="J31" s="111">
        <f>IF(AND(J16&gt;J42,MIN(J17:J18)&gt;J43),0,IF(I31&lt;&gt;"",IF(I31&lt;0,0,IF(I31&gt;5, 5, I31)),0))</f>
        <v>1</v>
      </c>
      <c r="K31" s="258"/>
      <c r="L31" s="64"/>
      <c r="M31" s="64"/>
      <c r="N31" s="64"/>
      <c r="O31" s="544"/>
      <c r="P31" s="268" t="str">
        <f>IF(J31&gt;1, 3,"")</f>
        <v/>
      </c>
      <c r="Q31" s="261" t="str">
        <f>IF(AND(P31&lt;&gt;"",E17&lt;&gt;""), $E$17/2, "")</f>
        <v/>
      </c>
      <c r="R31" s="269" t="str">
        <f>IF(AND(P31&lt;&gt;"",E16&lt;&gt;""), 2*$E$16/($J$31+1)-$E$16/2, "")</f>
        <v/>
      </c>
      <c r="S31" s="270" t="str">
        <f t="shared" si="1"/>
        <v/>
      </c>
      <c r="T31" s="271" t="str">
        <f t="shared" si="1"/>
        <v/>
      </c>
      <c r="U31" s="64"/>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row>
    <row r="32" spans="1:45" ht="18.75" customHeight="1">
      <c r="A32" s="64"/>
      <c r="B32" s="102" t="s">
        <v>282</v>
      </c>
      <c r="C32" s="281" t="s">
        <v>107</v>
      </c>
      <c r="D32" s="103"/>
      <c r="E32" s="309">
        <f>IF(J16&lt;&gt;"", J16, "")</f>
        <v>-59.997732902411371</v>
      </c>
      <c r="F32" s="282" t="s">
        <v>39</v>
      </c>
      <c r="G32" s="88" t="s">
        <v>327</v>
      </c>
      <c r="H32" s="99" t="s">
        <v>137</v>
      </c>
      <c r="I32" s="288">
        <v>10</v>
      </c>
      <c r="J32" s="112">
        <f>IF(J31&gt;0, IF(I32&lt;&gt;"", I32, ""),"")</f>
        <v>10</v>
      </c>
      <c r="K32" s="258" t="s">
        <v>39</v>
      </c>
      <c r="L32" s="64"/>
      <c r="M32" s="64"/>
      <c r="N32" s="64"/>
      <c r="O32" s="544"/>
      <c r="P32" s="268" t="str">
        <f>IF(J31&gt;1, 4,"")</f>
        <v/>
      </c>
      <c r="Q32" s="261" t="str">
        <f>IF(AND(P32&lt;&gt;"",E17&lt;&gt;""), -$E$17/2, "")</f>
        <v/>
      </c>
      <c r="R32" s="269" t="str">
        <f>IF(AND(P32&lt;&gt;"",E16&lt;&gt;""), 2*$E$16/($J$31+1)-$E$16/2, "")</f>
        <v/>
      </c>
      <c r="S32" s="270" t="str">
        <f t="shared" si="1"/>
        <v/>
      </c>
      <c r="T32" s="271" t="str">
        <f t="shared" si="1"/>
        <v/>
      </c>
      <c r="U32" s="64"/>
      <c r="V32" s="66"/>
      <c r="W32" s="66"/>
      <c r="X32" s="66"/>
      <c r="Y32" s="66"/>
      <c r="Z32" s="66"/>
      <c r="AA32" s="66"/>
      <c r="AB32" s="66"/>
      <c r="AC32" s="66"/>
      <c r="AD32" s="66"/>
      <c r="AE32" s="66"/>
      <c r="AF32" s="66"/>
      <c r="AG32" s="66"/>
      <c r="AH32" s="66"/>
      <c r="AI32" s="66"/>
      <c r="AJ32" s="66"/>
      <c r="AK32" s="66"/>
      <c r="AL32" s="66"/>
      <c r="AM32" s="66"/>
      <c r="AN32" s="66"/>
      <c r="AO32" s="66"/>
      <c r="AP32" s="66"/>
      <c r="AQ32" s="66"/>
      <c r="AR32" s="66"/>
      <c r="AS32" s="66"/>
    </row>
    <row r="33" spans="1:45" ht="18.75" customHeight="1">
      <c r="A33" s="64"/>
      <c r="B33" s="102" t="s">
        <v>328</v>
      </c>
      <c r="C33" s="103" t="s">
        <v>138</v>
      </c>
      <c r="D33" s="103"/>
      <c r="E33" s="309">
        <f>IF(AND(J21&gt;0,J22&lt;&gt;""), J21*J22, "")</f>
        <v>40</v>
      </c>
      <c r="F33" s="282" t="s">
        <v>39</v>
      </c>
      <c r="G33" s="88" t="s">
        <v>329</v>
      </c>
      <c r="H33" s="99" t="s">
        <v>139</v>
      </c>
      <c r="I33" s="265"/>
      <c r="J33" s="91">
        <f>IF(J32&lt;&gt;"",J32*100*100*SUM(T29:T38),"")</f>
        <v>0</v>
      </c>
      <c r="K33" s="258" t="s">
        <v>42</v>
      </c>
      <c r="L33" s="64"/>
      <c r="M33" s="64"/>
      <c r="N33" s="64"/>
      <c r="O33" s="544"/>
      <c r="P33" s="268" t="str">
        <f>IF(J31&gt;2, 5,"")</f>
        <v/>
      </c>
      <c r="Q33" s="261" t="str">
        <f>IF(AND(P33&lt;&gt;"",E17&lt;&gt;""), $E$17/2, "")</f>
        <v/>
      </c>
      <c r="R33" s="269" t="str">
        <f>IF(AND(P33&lt;&gt;"",E16&lt;&gt;""), 3*$E$16/($J$31+1)-$E$16/2, "")</f>
        <v/>
      </c>
      <c r="S33" s="270" t="str">
        <f t="shared" si="1"/>
        <v/>
      </c>
      <c r="T33" s="271" t="str">
        <f t="shared" si="1"/>
        <v/>
      </c>
      <c r="U33" s="64"/>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row>
    <row r="34" spans="1:45" ht="18.75" customHeight="1">
      <c r="A34" s="64"/>
      <c r="B34" s="102" t="s">
        <v>330</v>
      </c>
      <c r="C34" s="103" t="s">
        <v>140</v>
      </c>
      <c r="D34" s="103"/>
      <c r="E34" s="309">
        <f>IF(AND(J26&gt;0,J27&lt;&gt;""), J26*J27, "")</f>
        <v>10</v>
      </c>
      <c r="F34" s="282" t="s">
        <v>39</v>
      </c>
      <c r="G34" s="88" t="s">
        <v>331</v>
      </c>
      <c r="H34" s="99" t="s">
        <v>141</v>
      </c>
      <c r="I34" s="265"/>
      <c r="J34" s="91">
        <f>IF(J32&lt;&gt;"",J32*100*100*SUM(S29:S38),"")</f>
        <v>450000</v>
      </c>
      <c r="K34" s="258" t="s">
        <v>42</v>
      </c>
      <c r="L34" s="64"/>
      <c r="M34" s="64"/>
      <c r="N34" s="64"/>
      <c r="O34" s="544"/>
      <c r="P34" s="268" t="str">
        <f>IF(J31&gt;2, 6,"")</f>
        <v/>
      </c>
      <c r="Q34" s="261" t="str">
        <f>IF(AND(P34&lt;&gt;"",E17&lt;&gt;""), -$E$17/2, "")</f>
        <v/>
      </c>
      <c r="R34" s="269" t="str">
        <f>IF(AND(P34&lt;&gt;"",E16&lt;&gt;""), 3*$E$16/($J$31+1)-$E$16/2, "")</f>
        <v/>
      </c>
      <c r="S34" s="270" t="str">
        <f t="shared" si="1"/>
        <v/>
      </c>
      <c r="T34" s="271" t="str">
        <f t="shared" si="1"/>
        <v/>
      </c>
      <c r="U34" s="64"/>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row>
    <row r="35" spans="1:45" ht="18.75" customHeight="1">
      <c r="A35" s="64"/>
      <c r="B35" s="102" t="s">
        <v>332</v>
      </c>
      <c r="C35" s="310" t="s">
        <v>142</v>
      </c>
      <c r="D35" s="310"/>
      <c r="E35" s="309">
        <f>IF(AND(J31&gt;0,J32&lt;&gt;""), J31*J32,"")</f>
        <v>10</v>
      </c>
      <c r="F35" s="282" t="s">
        <v>39</v>
      </c>
      <c r="G35" s="305"/>
      <c r="H35" s="311"/>
      <c r="I35" s="306"/>
      <c r="J35" s="303"/>
      <c r="K35" s="304"/>
      <c r="L35" s="64"/>
      <c r="M35" s="64"/>
      <c r="N35" s="64"/>
      <c r="O35" s="544"/>
      <c r="P35" s="268" t="str">
        <f>IF(J31&gt;3, 7,"")</f>
        <v/>
      </c>
      <c r="Q35" s="261" t="str">
        <f>IF(AND(P35&lt;&gt;"",E17&lt;&gt;""), $E$17/2, "")</f>
        <v/>
      </c>
      <c r="R35" s="269" t="str">
        <f>IF(AND(P35&lt;&gt;"",E16&lt;&gt;""), 4*$E$16/($J$31+1)-$E$16/2, "")</f>
        <v/>
      </c>
      <c r="S35" s="270" t="str">
        <f t="shared" si="1"/>
        <v/>
      </c>
      <c r="T35" s="271" t="str">
        <f t="shared" si="1"/>
        <v/>
      </c>
      <c r="U35" s="64"/>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row>
    <row r="36" spans="1:45" ht="18.75" customHeight="1">
      <c r="A36" s="64"/>
      <c r="B36" s="312"/>
      <c r="C36" s="103"/>
      <c r="D36" s="103"/>
      <c r="E36" s="293"/>
      <c r="F36" s="282"/>
      <c r="G36" s="88" t="s">
        <v>333</v>
      </c>
      <c r="H36" s="313" t="s">
        <v>143</v>
      </c>
      <c r="I36" s="314"/>
      <c r="J36" s="120">
        <f>IF(AND(L17="", OR(L18=0,L18=""), OR(L19=0,L19=""), OR(L20=0,L20="")), "", SUM(L17:L20))</f>
        <v>899979.50606620312</v>
      </c>
      <c r="K36" s="258" t="s">
        <v>42</v>
      </c>
      <c r="L36" s="64"/>
      <c r="M36" s="64"/>
      <c r="N36" s="64"/>
      <c r="O36" s="544"/>
      <c r="P36" s="268" t="str">
        <f>IF(J31&gt;3, 8,"")</f>
        <v/>
      </c>
      <c r="Q36" s="261" t="str">
        <f>IF(AND(P36&lt;&gt;"",E17&lt;&gt;""), -$E$17/2, "")</f>
        <v/>
      </c>
      <c r="R36" s="269" t="str">
        <f>IF(AND(P36&lt;&gt;"",E16&lt;&gt;""), 4*$E$16/($J$31+1)-$E$16/2, "")</f>
        <v/>
      </c>
      <c r="S36" s="270" t="str">
        <f t="shared" si="1"/>
        <v/>
      </c>
      <c r="T36" s="271" t="str">
        <f t="shared" si="1"/>
        <v/>
      </c>
      <c r="U36" s="64"/>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row>
    <row r="37" spans="1:45" ht="18.75" customHeight="1" thickBot="1">
      <c r="A37" s="64"/>
      <c r="B37" s="121" t="s">
        <v>290</v>
      </c>
      <c r="C37" s="126" t="s">
        <v>63</v>
      </c>
      <c r="D37" s="126"/>
      <c r="E37" s="128">
        <f>IF(AND(E32="", E33="", E34="", E35=""), "", SUM(E32:E35))</f>
        <v>2.2670975886285305E-3</v>
      </c>
      <c r="F37" s="315" t="s">
        <v>39</v>
      </c>
      <c r="G37" s="125" t="s">
        <v>334</v>
      </c>
      <c r="H37" s="126" t="s">
        <v>144</v>
      </c>
      <c r="I37" s="316"/>
      <c r="J37" s="128">
        <f>IF(AND(M17="", OR(M18=0,M18=""), OR(M19=0,M19=""), OR(M20=0,M20="")), "", SUM(M17:M20))</f>
        <v>899979.50606620312</v>
      </c>
      <c r="K37" s="315" t="s">
        <v>42</v>
      </c>
      <c r="L37" s="64"/>
      <c r="M37" s="64"/>
      <c r="N37" s="64"/>
      <c r="O37" s="544"/>
      <c r="P37" s="268" t="str">
        <f>IF(J31&gt;4, 9,"")</f>
        <v/>
      </c>
      <c r="Q37" s="261" t="str">
        <f>IF(AND(P37&lt;&gt;"",E17&lt;&gt;""), $E$17/2, "")</f>
        <v/>
      </c>
      <c r="R37" s="269" t="str">
        <f>IF(AND(P37&lt;&gt;"",E16&lt;&gt;""), 5*$E$16/($J$31+1)-$E$16/2, "")</f>
        <v/>
      </c>
      <c r="S37" s="270" t="str">
        <f t="shared" si="1"/>
        <v/>
      </c>
      <c r="T37" s="271" t="str">
        <f t="shared" si="1"/>
        <v/>
      </c>
      <c r="U37" s="64"/>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row>
    <row r="38" spans="1:45" ht="18.75" customHeight="1" thickTop="1" thickBot="1">
      <c r="A38" s="64"/>
      <c r="B38" s="64"/>
      <c r="C38" s="64"/>
      <c r="D38" s="64"/>
      <c r="E38" s="64"/>
      <c r="F38" s="64"/>
      <c r="G38" s="56"/>
      <c r="H38" s="56"/>
      <c r="I38" s="317"/>
      <c r="J38" s="317"/>
      <c r="K38" s="229"/>
      <c r="L38" s="64"/>
      <c r="M38" s="64"/>
      <c r="N38" s="64"/>
      <c r="O38" s="545"/>
      <c r="P38" s="318" t="str">
        <f>IF(J31&gt;4, 10,"")</f>
        <v/>
      </c>
      <c r="Q38" s="261" t="str">
        <f>IF(AND(P38&lt;&gt;"",E17&lt;&gt;""), -$E$17/2, "")</f>
        <v/>
      </c>
      <c r="R38" s="269" t="str">
        <f>IF(AND(P38&lt;&gt;"",E16&lt;&gt;""), 5*$E$16/($J$31+1)-$E$16/2, "")</f>
        <v/>
      </c>
      <c r="S38" s="319" t="str">
        <f t="shared" si="1"/>
        <v/>
      </c>
      <c r="T38" s="320" t="str">
        <f t="shared" si="1"/>
        <v/>
      </c>
      <c r="U38" s="64"/>
      <c r="V38" s="66"/>
      <c r="W38" s="66"/>
      <c r="X38" s="66"/>
      <c r="Y38" s="66"/>
      <c r="Z38" s="66"/>
      <c r="AA38" s="66"/>
      <c r="AB38" s="66"/>
      <c r="AC38" s="66"/>
      <c r="AD38" s="66"/>
      <c r="AE38" s="66"/>
      <c r="AF38" s="66"/>
      <c r="AG38" s="66"/>
      <c r="AH38" s="66"/>
      <c r="AI38" s="66"/>
      <c r="AJ38" s="66"/>
      <c r="AK38" s="66"/>
      <c r="AL38" s="66"/>
      <c r="AM38" s="66"/>
      <c r="AN38" s="66"/>
      <c r="AO38" s="66"/>
      <c r="AP38" s="66"/>
      <c r="AQ38" s="66"/>
      <c r="AR38" s="66"/>
      <c r="AS38" s="66"/>
    </row>
    <row r="39" spans="1:45" ht="18.75" customHeight="1" thickBot="1">
      <c r="A39" s="64"/>
      <c r="B39" s="64"/>
      <c r="C39" s="64"/>
      <c r="D39" s="64"/>
      <c r="E39" s="64"/>
      <c r="F39" s="64"/>
      <c r="G39" s="64"/>
      <c r="H39" s="129"/>
      <c r="I39" s="321"/>
      <c r="J39" s="321"/>
      <c r="K39" s="65"/>
      <c r="L39" s="64"/>
      <c r="M39" s="64"/>
      <c r="N39" s="64"/>
      <c r="O39" s="64"/>
      <c r="P39" s="322"/>
      <c r="Q39" s="323"/>
      <c r="R39" s="323"/>
      <c r="S39" s="64"/>
      <c r="T39" s="64"/>
      <c r="U39" s="64"/>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row>
    <row r="40" spans="1:45" ht="38.1" customHeight="1" thickTop="1" thickBot="1">
      <c r="A40" s="64"/>
      <c r="B40" s="546" t="s">
        <v>66</v>
      </c>
      <c r="C40" s="547"/>
      <c r="D40" s="547"/>
      <c r="E40" s="547"/>
      <c r="F40" s="547"/>
      <c r="G40" s="547"/>
      <c r="H40" s="547"/>
      <c r="I40" s="547"/>
      <c r="J40" s="547"/>
      <c r="K40" s="548"/>
      <c r="L40" s="64"/>
      <c r="M40" s="64"/>
      <c r="N40" s="64"/>
      <c r="O40" s="324"/>
      <c r="P40" s="325"/>
      <c r="Q40" s="326"/>
      <c r="R40" s="326"/>
      <c r="S40" s="64"/>
      <c r="T40" s="64"/>
      <c r="U40" s="64"/>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row>
    <row r="41" spans="1:45" ht="23.25" customHeight="1">
      <c r="A41" s="64"/>
      <c r="B41" s="327"/>
      <c r="C41" s="143" t="s">
        <v>68</v>
      </c>
      <c r="D41" s="143"/>
      <c r="E41" s="328"/>
      <c r="F41" s="329"/>
      <c r="G41" s="329"/>
      <c r="H41" s="330" t="s">
        <v>69</v>
      </c>
      <c r="I41" s="147"/>
      <c r="J41" s="328"/>
      <c r="K41" s="149"/>
      <c r="L41" s="331"/>
      <c r="M41" s="331"/>
      <c r="N41" s="331"/>
      <c r="O41" s="64"/>
      <c r="P41" s="325"/>
      <c r="Q41" s="326"/>
      <c r="R41" s="326"/>
      <c r="S41" s="64"/>
      <c r="T41" s="64"/>
      <c r="U41" s="64"/>
      <c r="V41" s="66"/>
      <c r="W41" s="66"/>
      <c r="X41" s="66"/>
      <c r="Y41" s="66"/>
      <c r="Z41" s="66"/>
      <c r="AA41" s="66"/>
      <c r="AB41" s="66"/>
      <c r="AC41" s="66"/>
      <c r="AD41" s="66"/>
      <c r="AE41" s="66"/>
      <c r="AF41" s="66"/>
      <c r="AG41" s="66"/>
      <c r="AH41" s="66"/>
      <c r="AI41" s="66"/>
      <c r="AJ41" s="66"/>
      <c r="AK41" s="66"/>
      <c r="AL41" s="66"/>
      <c r="AM41" s="66"/>
      <c r="AN41" s="66"/>
      <c r="AO41" s="66"/>
      <c r="AP41" s="66"/>
      <c r="AQ41" s="66"/>
      <c r="AR41" s="66"/>
      <c r="AS41" s="66"/>
    </row>
    <row r="42" spans="1:45" ht="18.75" customHeight="1">
      <c r="A42" s="64"/>
      <c r="B42" s="332" t="s">
        <v>292</v>
      </c>
      <c r="C42" s="157" t="s">
        <v>72</v>
      </c>
      <c r="D42" s="157"/>
      <c r="E42" s="158">
        <f>IF(AND(E18&lt;&gt;"",'General Inputs'!F20&lt;&gt;""),E18*Earth_Mu/(Earth_Radius)^2*1000*'General Inputs'!F20,"")</f>
        <v>2645.5349769665322</v>
      </c>
      <c r="F42" s="159" t="s">
        <v>48</v>
      </c>
      <c r="G42" s="155" t="s">
        <v>293</v>
      </c>
      <c r="H42" s="161" t="s">
        <v>73</v>
      </c>
      <c r="I42" s="333"/>
      <c r="J42" s="163">
        <f>IF(AND(E15&lt;&gt;"",E18&lt;&gt;"",E26&lt;&gt;"",J44&lt;&gt;""),(J44*4)^2*E18*E15/(E26*10^9)*100*100,"")</f>
        <v>3.169014084507042</v>
      </c>
      <c r="K42" s="164" t="s">
        <v>39</v>
      </c>
      <c r="L42" s="64"/>
      <c r="M42" s="64"/>
      <c r="N42" s="64"/>
      <c r="O42" s="64"/>
      <c r="P42" s="325"/>
      <c r="Q42" s="326"/>
      <c r="R42" s="326"/>
      <c r="S42" s="64"/>
      <c r="T42" s="64"/>
      <c r="U42" s="64"/>
      <c r="V42" s="66"/>
      <c r="W42" s="66"/>
      <c r="X42" s="66"/>
      <c r="Y42" s="66"/>
      <c r="Z42" s="66"/>
      <c r="AA42" s="66"/>
      <c r="AB42" s="66"/>
      <c r="AC42" s="66"/>
      <c r="AD42" s="66"/>
      <c r="AE42" s="66"/>
      <c r="AF42" s="66"/>
      <c r="AG42" s="66"/>
      <c r="AH42" s="66"/>
      <c r="AI42" s="66"/>
      <c r="AJ42" s="66"/>
      <c r="AK42" s="66"/>
      <c r="AL42" s="66"/>
      <c r="AM42" s="66"/>
      <c r="AN42" s="66"/>
      <c r="AO42" s="66"/>
      <c r="AP42" s="66"/>
      <c r="AQ42" s="66"/>
      <c r="AR42" s="66"/>
      <c r="AS42" s="66"/>
    </row>
    <row r="43" spans="1:45" ht="18.75" customHeight="1">
      <c r="A43" s="64"/>
      <c r="B43" s="332" t="s">
        <v>294</v>
      </c>
      <c r="C43" s="157" t="s">
        <v>76</v>
      </c>
      <c r="D43" s="157"/>
      <c r="E43" s="158">
        <f>IF(AND(E15&lt;&gt;"",E18&lt;&gt;"",'General Inputs'!F21&lt;&gt;""),E18*Earth_Mu/(Earth_Radius)^2*1000*Prism!E15/2*'General Inputs'!F21,"")</f>
        <v>3968.3024654497985</v>
      </c>
      <c r="F43" s="159" t="s">
        <v>77</v>
      </c>
      <c r="G43" s="155" t="s">
        <v>295</v>
      </c>
      <c r="H43" s="161" t="s">
        <v>78</v>
      </c>
      <c r="I43" s="333"/>
      <c r="J43" s="163">
        <f>IF(AND(E15&lt;&gt;"",E18&lt;&gt;"",E26&lt;&gt;"",J45&lt;&gt;""),(J45/0.56)^2*E18*E15^3/(E26*10^9)*100^4,"")</f>
        <v>56842.169085944217</v>
      </c>
      <c r="K43" s="164" t="s">
        <v>42</v>
      </c>
      <c r="L43" s="64"/>
      <c r="M43" s="64"/>
      <c r="N43" s="64"/>
      <c r="O43" s="64"/>
      <c r="P43" s="325"/>
      <c r="Q43" s="326"/>
      <c r="R43" s="326"/>
      <c r="S43" s="64"/>
      <c r="T43" s="64"/>
      <c r="U43" s="64"/>
      <c r="V43" s="66"/>
      <c r="W43" s="66"/>
      <c r="X43" s="66"/>
      <c r="Y43" s="66"/>
      <c r="Z43" s="66"/>
      <c r="AA43" s="66"/>
      <c r="AB43" s="66"/>
      <c r="AC43" s="66"/>
      <c r="AD43" s="66"/>
      <c r="AE43" s="66"/>
      <c r="AF43" s="66"/>
      <c r="AG43" s="66"/>
      <c r="AH43" s="66"/>
      <c r="AI43" s="66"/>
      <c r="AJ43" s="66"/>
      <c r="AK43" s="66"/>
      <c r="AL43" s="66"/>
      <c r="AM43" s="66"/>
      <c r="AN43" s="66"/>
      <c r="AO43" s="66"/>
      <c r="AP43" s="66"/>
      <c r="AQ43" s="66"/>
      <c r="AR43" s="66"/>
      <c r="AS43" s="66"/>
    </row>
    <row r="44" spans="1:45" ht="18.75" customHeight="1">
      <c r="A44" s="64"/>
      <c r="B44" s="332"/>
      <c r="C44" s="157"/>
      <c r="D44" s="157"/>
      <c r="E44" s="158"/>
      <c r="F44" s="159"/>
      <c r="G44" s="155" t="s">
        <v>335</v>
      </c>
      <c r="H44" s="161" t="s">
        <v>19</v>
      </c>
      <c r="I44" s="334"/>
      <c r="J44" s="177">
        <f>'General Inputs'!F22</f>
        <v>125</v>
      </c>
      <c r="K44" s="178" t="s">
        <v>20</v>
      </c>
      <c r="L44" s="56"/>
      <c r="M44" s="56"/>
      <c r="N44" s="56"/>
      <c r="O44" s="64"/>
      <c r="P44" s="325"/>
      <c r="Q44" s="326"/>
      <c r="R44" s="326"/>
      <c r="S44" s="64"/>
      <c r="T44" s="64"/>
      <c r="U44" s="64"/>
      <c r="V44" s="66"/>
      <c r="W44" s="66"/>
      <c r="X44" s="66"/>
      <c r="Y44" s="66"/>
      <c r="Z44" s="66"/>
      <c r="AA44" s="66"/>
      <c r="AB44" s="66"/>
      <c r="AC44" s="66"/>
      <c r="AD44" s="66"/>
      <c r="AE44" s="66"/>
      <c r="AF44" s="66"/>
      <c r="AG44" s="66"/>
      <c r="AH44" s="66"/>
      <c r="AI44" s="66"/>
      <c r="AJ44" s="66"/>
      <c r="AK44" s="66"/>
      <c r="AL44" s="66"/>
      <c r="AM44" s="66"/>
      <c r="AN44" s="66"/>
      <c r="AO44" s="66"/>
      <c r="AP44" s="66"/>
      <c r="AQ44" s="66"/>
      <c r="AR44" s="66"/>
      <c r="AS44" s="66"/>
    </row>
    <row r="45" spans="1:45" ht="18.75" customHeight="1" thickBot="1">
      <c r="A45" s="64"/>
      <c r="B45" s="332" t="s">
        <v>298</v>
      </c>
      <c r="C45" s="157" t="s">
        <v>145</v>
      </c>
      <c r="D45" s="157"/>
      <c r="E45" s="158">
        <f>IF(E42&lt;&gt;"",E42*'General Inputs'!F16,"")</f>
        <v>3306.9187212081652</v>
      </c>
      <c r="F45" s="159" t="s">
        <v>48</v>
      </c>
      <c r="G45" s="155" t="s">
        <v>336</v>
      </c>
      <c r="H45" s="161" t="s">
        <v>21</v>
      </c>
      <c r="I45" s="334"/>
      <c r="J45" s="177">
        <f>'General Inputs'!F23</f>
        <v>125</v>
      </c>
      <c r="K45" s="178" t="s">
        <v>20</v>
      </c>
      <c r="L45" s="56"/>
      <c r="M45" s="56"/>
      <c r="N45" s="56"/>
      <c r="O45" s="64"/>
      <c r="P45" s="325"/>
      <c r="Q45" s="326"/>
      <c r="R45" s="326"/>
      <c r="S45" s="64"/>
      <c r="T45" s="64"/>
      <c r="U45" s="64"/>
      <c r="V45" s="66"/>
      <c r="W45" s="66"/>
      <c r="X45" s="66"/>
      <c r="Y45" s="66"/>
      <c r="Z45" s="66"/>
      <c r="AA45" s="66"/>
      <c r="AB45" s="66"/>
      <c r="AC45" s="66"/>
      <c r="AD45" s="66"/>
      <c r="AE45" s="66"/>
      <c r="AF45" s="66"/>
      <c r="AG45" s="66"/>
      <c r="AH45" s="66"/>
      <c r="AI45" s="66"/>
      <c r="AJ45" s="66"/>
      <c r="AK45" s="66"/>
      <c r="AL45" s="66"/>
      <c r="AM45" s="66"/>
      <c r="AN45" s="66"/>
      <c r="AO45" s="66"/>
      <c r="AP45" s="66"/>
      <c r="AQ45" s="66"/>
      <c r="AR45" s="66"/>
      <c r="AS45" s="66"/>
    </row>
    <row r="46" spans="1:45" ht="18.75" customHeight="1">
      <c r="A46" s="64"/>
      <c r="B46" s="332" t="s">
        <v>337</v>
      </c>
      <c r="C46" s="157" t="s">
        <v>146</v>
      </c>
      <c r="D46" s="157"/>
      <c r="E46" s="158">
        <f>IF(E43&lt;&gt;"",E43*'General Inputs'!F16,"")</f>
        <v>4960.3780818122486</v>
      </c>
      <c r="F46" s="159" t="s">
        <v>77</v>
      </c>
      <c r="G46" s="335" t="s">
        <v>301</v>
      </c>
      <c r="H46" s="161" t="s">
        <v>85</v>
      </c>
      <c r="I46" s="336">
        <f>IF(AND(E15&lt;&gt;"",E18&lt;&gt;"",E26&lt;&gt;"",E37&lt;&gt;""),0.25*SQRT(E37/100^2*E26*10^9/E15/E18),"")</f>
        <v>3.3433591806144616</v>
      </c>
      <c r="J46" s="189" t="str">
        <f>IF(I46&gt;=J44, "Comply", "Not Comply")</f>
        <v>Not Comply</v>
      </c>
      <c r="K46" s="178" t="s">
        <v>20</v>
      </c>
      <c r="L46" s="56"/>
      <c r="M46" s="56"/>
      <c r="N46" s="56"/>
      <c r="O46" s="64"/>
      <c r="P46" s="325"/>
      <c r="Q46" s="326"/>
      <c r="R46" s="326"/>
      <c r="S46" s="64"/>
      <c r="T46" s="64"/>
      <c r="U46" s="64"/>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row>
    <row r="47" spans="1:45" ht="18.75" customHeight="1" thickBot="1">
      <c r="A47" s="64"/>
      <c r="B47" s="332" t="s">
        <v>338</v>
      </c>
      <c r="C47" s="157" t="s">
        <v>147</v>
      </c>
      <c r="D47" s="157"/>
      <c r="E47" s="191">
        <f>IF(AND(E45&lt;&gt;"", E46&lt;&gt;"", E16&lt;&gt;"", E17&lt;&gt;"", E37&lt;&gt;""), IF(J36&lt;J37, E45/E37*10^-2 +E46* E16/2/(J36/10^8)/10^6, E45/E37*10^-2 +E46* E17/2/(J37/10^8)/10^6 ), "")</f>
        <v>14587.400955965326</v>
      </c>
      <c r="F47" s="159" t="s">
        <v>54</v>
      </c>
      <c r="G47" s="335" t="s">
        <v>303</v>
      </c>
      <c r="H47" s="161" t="s">
        <v>87</v>
      </c>
      <c r="I47" s="336">
        <f>IF(AND(E15&lt;&gt;"",E18&lt;&gt;"",J36&lt;&gt;"",J37&lt;&gt;"",E26&lt;&gt;""),0.56*SQRT(E26*10^9*MIN(J36:J37)/(100)^4/E18/E15^3),"")</f>
        <v>497.38307379933008</v>
      </c>
      <c r="J47" s="193" t="str">
        <f>IF(I47&gt;=J45, "Comply", "Not Comply")</f>
        <v>Comply</v>
      </c>
      <c r="K47" s="178" t="s">
        <v>20</v>
      </c>
      <c r="L47" s="56"/>
      <c r="M47" s="56"/>
      <c r="N47" s="56"/>
      <c r="O47" s="64"/>
      <c r="P47" s="325"/>
      <c r="Q47" s="326"/>
      <c r="R47" s="326"/>
      <c r="S47" s="64"/>
      <c r="T47" s="64"/>
      <c r="U47" s="64"/>
      <c r="V47" s="66"/>
      <c r="W47" s="66"/>
      <c r="X47" s="66"/>
      <c r="Y47" s="66"/>
      <c r="Z47" s="66"/>
      <c r="AA47" s="66"/>
      <c r="AB47" s="66"/>
      <c r="AC47" s="66"/>
      <c r="AD47" s="66"/>
      <c r="AE47" s="66"/>
      <c r="AF47" s="66"/>
      <c r="AG47" s="66"/>
      <c r="AH47" s="66"/>
      <c r="AI47" s="66"/>
      <c r="AJ47" s="66"/>
      <c r="AK47" s="66"/>
      <c r="AL47" s="66"/>
      <c r="AM47" s="66"/>
      <c r="AN47" s="66"/>
      <c r="AO47" s="66"/>
      <c r="AP47" s="66"/>
      <c r="AQ47" s="66"/>
      <c r="AR47" s="66"/>
      <c r="AS47" s="66"/>
    </row>
    <row r="48" spans="1:45" ht="18.75" customHeight="1">
      <c r="A48" s="64"/>
      <c r="B48" s="213"/>
      <c r="C48" s="162"/>
      <c r="D48" s="162"/>
      <c r="E48" s="337"/>
      <c r="F48" s="202"/>
      <c r="G48" s="338"/>
      <c r="H48" s="339"/>
      <c r="I48" s="177"/>
      <c r="J48" s="340"/>
      <c r="K48" s="341"/>
      <c r="L48" s="64"/>
      <c r="M48" s="64"/>
      <c r="N48" s="64"/>
      <c r="O48" s="64"/>
      <c r="P48" s="325"/>
      <c r="Q48" s="326"/>
      <c r="R48" s="326"/>
      <c r="S48" s="64"/>
      <c r="T48" s="64"/>
      <c r="U48" s="64"/>
      <c r="V48" s="66"/>
      <c r="W48" s="66"/>
      <c r="X48" s="66"/>
      <c r="Y48" s="66"/>
      <c r="Z48" s="66"/>
      <c r="AA48" s="66"/>
      <c r="AB48" s="66"/>
      <c r="AC48" s="66"/>
      <c r="AD48" s="66"/>
      <c r="AE48" s="66"/>
      <c r="AF48" s="66"/>
      <c r="AG48" s="66"/>
      <c r="AH48" s="66"/>
      <c r="AI48" s="66"/>
      <c r="AJ48" s="66"/>
      <c r="AK48" s="66"/>
      <c r="AL48" s="66"/>
      <c r="AM48" s="66"/>
      <c r="AN48" s="66"/>
      <c r="AO48" s="66"/>
      <c r="AP48" s="66"/>
      <c r="AQ48" s="66"/>
      <c r="AR48" s="66"/>
      <c r="AS48" s="66"/>
    </row>
    <row r="49" spans="1:45" ht="22.5" customHeight="1">
      <c r="A49" s="64"/>
      <c r="B49" s="332" t="s">
        <v>300</v>
      </c>
      <c r="C49" s="157" t="s">
        <v>148</v>
      </c>
      <c r="D49" s="157"/>
      <c r="E49" s="158">
        <f>IF(E42&lt;&gt;"",E42*'General Inputs'!F17,"")</f>
        <v>2910.0884746631855</v>
      </c>
      <c r="F49" s="159" t="s">
        <v>48</v>
      </c>
      <c r="G49" s="342"/>
      <c r="H49" s="143" t="s">
        <v>89</v>
      </c>
      <c r="I49" s="147"/>
      <c r="J49" s="147"/>
      <c r="K49" s="341"/>
      <c r="L49" s="64"/>
      <c r="M49" s="64"/>
      <c r="N49" s="64"/>
      <c r="O49" s="64"/>
      <c r="P49" s="343"/>
      <c r="Q49" s="343"/>
      <c r="R49" s="343"/>
      <c r="S49" s="343"/>
      <c r="T49" s="343"/>
      <c r="U49" s="343"/>
      <c r="V49" s="344"/>
      <c r="W49" s="344"/>
      <c r="X49" s="66"/>
      <c r="Y49" s="66"/>
      <c r="Z49" s="66"/>
      <c r="AA49" s="66"/>
      <c r="AB49" s="66"/>
      <c r="AC49" s="66"/>
      <c r="AD49" s="66"/>
      <c r="AE49" s="66"/>
      <c r="AF49" s="66"/>
      <c r="AG49" s="66"/>
      <c r="AH49" s="66"/>
      <c r="AI49" s="66"/>
      <c r="AJ49" s="66"/>
      <c r="AK49" s="66"/>
      <c r="AL49" s="66"/>
      <c r="AM49" s="66"/>
      <c r="AN49" s="66"/>
      <c r="AO49" s="66"/>
      <c r="AP49" s="66"/>
      <c r="AQ49" s="66"/>
      <c r="AR49" s="66"/>
      <c r="AS49" s="66"/>
    </row>
    <row r="50" spans="1:45" ht="18.75" customHeight="1">
      <c r="A50" s="64"/>
      <c r="B50" s="332" t="s">
        <v>339</v>
      </c>
      <c r="C50" s="157" t="s">
        <v>149</v>
      </c>
      <c r="D50" s="157"/>
      <c r="E50" s="158">
        <f>IF(E43&lt;&gt;"",E43*'General Inputs'!F17,"")</f>
        <v>4365.1327119947791</v>
      </c>
      <c r="F50" s="159" t="s">
        <v>77</v>
      </c>
      <c r="G50" s="345" t="s">
        <v>338</v>
      </c>
      <c r="H50" s="157" t="s">
        <v>147</v>
      </c>
      <c r="I50" s="346"/>
      <c r="J50" s="191">
        <f>IF(E47&lt;&gt;"", E47,"")</f>
        <v>14587.400955965326</v>
      </c>
      <c r="K50" s="212" t="s">
        <v>54</v>
      </c>
      <c r="L50" s="347"/>
      <c r="M50" s="347"/>
      <c r="N50" s="347"/>
      <c r="O50" s="7"/>
      <c r="P50" s="348"/>
      <c r="Q50" s="348"/>
      <c r="R50" s="348"/>
      <c r="S50" s="349"/>
      <c r="T50" s="349"/>
      <c r="U50" s="348"/>
      <c r="V50" s="350"/>
      <c r="W50" s="350"/>
      <c r="Z50" s="66"/>
      <c r="AA50" s="66"/>
      <c r="AB50" s="66"/>
      <c r="AC50" s="66"/>
      <c r="AD50" s="66"/>
      <c r="AE50" s="66"/>
      <c r="AF50" s="66"/>
      <c r="AG50" s="66"/>
      <c r="AH50" s="66"/>
      <c r="AI50" s="66"/>
      <c r="AJ50" s="66"/>
      <c r="AK50" s="66"/>
      <c r="AL50" s="66"/>
      <c r="AM50" s="66"/>
      <c r="AN50" s="66"/>
      <c r="AO50" s="66"/>
      <c r="AP50" s="66"/>
      <c r="AQ50" s="66"/>
      <c r="AR50" s="66"/>
      <c r="AS50" s="66"/>
    </row>
    <row r="51" spans="1:45" ht="18.75" customHeight="1">
      <c r="A51" s="64"/>
      <c r="B51" s="332" t="s">
        <v>340</v>
      </c>
      <c r="C51" s="157" t="s">
        <v>150</v>
      </c>
      <c r="D51" s="157"/>
      <c r="E51" s="191">
        <f>IF(AND(E49&lt;&gt;"", E50&lt;&gt;"", E16&lt;&gt;"", E17&lt;&gt;"", E37&lt;&gt;""), IF(J36&lt;J37, E49/E37*10^-2 +E50* E16/2/(J36/10^8)/10^6, E49/E37*10^-2 +E50* E17/2/(J37/10^8)/10^6 ), "")</f>
        <v>12836.912841249487</v>
      </c>
      <c r="F51" s="159" t="s">
        <v>54</v>
      </c>
      <c r="G51" s="155"/>
      <c r="H51" s="339"/>
      <c r="I51" s="340"/>
      <c r="J51" s="340"/>
      <c r="K51" s="216"/>
      <c r="L51" s="56"/>
      <c r="M51" s="56"/>
      <c r="N51" s="56"/>
      <c r="O51" s="7"/>
      <c r="P51" s="351"/>
      <c r="Q51" s="351"/>
      <c r="R51" s="351"/>
      <c r="S51" s="351"/>
      <c r="T51" s="351"/>
      <c r="U51" s="351"/>
      <c r="V51" s="352"/>
      <c r="W51" s="352"/>
      <c r="Z51" s="66"/>
      <c r="AA51" s="66"/>
      <c r="AB51" s="66"/>
      <c r="AC51" s="66"/>
      <c r="AD51" s="66"/>
      <c r="AE51" s="66"/>
      <c r="AF51" s="66"/>
      <c r="AG51" s="66"/>
      <c r="AH51" s="66"/>
      <c r="AI51" s="66"/>
      <c r="AJ51" s="66"/>
      <c r="AK51" s="66"/>
      <c r="AL51" s="66"/>
      <c r="AM51" s="66"/>
      <c r="AN51" s="66"/>
      <c r="AO51" s="66"/>
      <c r="AP51" s="66"/>
      <c r="AQ51" s="66"/>
      <c r="AR51" s="66"/>
      <c r="AS51" s="66"/>
    </row>
    <row r="52" spans="1:45" ht="18.75" customHeight="1" thickBot="1">
      <c r="A52" s="64"/>
      <c r="B52" s="213"/>
      <c r="C52" s="162"/>
      <c r="D52" s="162"/>
      <c r="E52" s="337"/>
      <c r="F52" s="202"/>
      <c r="G52" s="155"/>
      <c r="H52" s="549" t="s">
        <v>151</v>
      </c>
      <c r="I52" s="550"/>
      <c r="J52" s="550"/>
      <c r="K52" s="216"/>
      <c r="L52" s="56"/>
      <c r="M52" s="56"/>
      <c r="N52" s="56"/>
      <c r="O52" s="7"/>
      <c r="P52" s="351"/>
      <c r="Q52" s="351"/>
      <c r="R52" s="351"/>
      <c r="S52" s="351"/>
      <c r="T52" s="351"/>
      <c r="U52" s="351"/>
      <c r="V52" s="352"/>
      <c r="W52" s="352"/>
      <c r="Z52" s="66"/>
      <c r="AA52" s="66"/>
      <c r="AB52" s="66"/>
      <c r="AC52" s="66"/>
      <c r="AD52" s="66"/>
      <c r="AE52" s="66"/>
      <c r="AF52" s="66"/>
      <c r="AG52" s="66"/>
      <c r="AH52" s="66"/>
      <c r="AI52" s="66"/>
      <c r="AJ52" s="66"/>
      <c r="AK52" s="66"/>
      <c r="AL52" s="66"/>
      <c r="AM52" s="66"/>
      <c r="AN52" s="66"/>
      <c r="AO52" s="66"/>
      <c r="AP52" s="66"/>
      <c r="AQ52" s="66"/>
      <c r="AR52" s="66"/>
      <c r="AS52" s="66"/>
    </row>
    <row r="53" spans="1:45" ht="18.75" customHeight="1">
      <c r="A53" s="64"/>
      <c r="B53" s="332" t="s">
        <v>302</v>
      </c>
      <c r="C53" s="157" t="s">
        <v>86</v>
      </c>
      <c r="D53" s="157"/>
      <c r="E53" s="191">
        <f>IF(AND(E47&lt;&gt;"",E25&lt;&gt;""),E25/E47-1,"")</f>
        <v>-0.96407859072484625</v>
      </c>
      <c r="F53" s="192" t="str">
        <f>IF(E53&gt;=0, "Comply", "Not Comply")</f>
        <v>Not Comply</v>
      </c>
      <c r="G53" s="155" t="s">
        <v>306</v>
      </c>
      <c r="H53" s="157" t="s">
        <v>104</v>
      </c>
      <c r="I53" s="346"/>
      <c r="J53" s="158">
        <f>IF(AND(E15&lt;&gt;"",E26&lt;&gt;"",J17&lt;&gt;"",J18&lt;&gt;""),PI()^2*E26*10^9*MIN(J17:J18)/10^8/(2*E15)^2,"")</f>
        <v>-87596728.214768887</v>
      </c>
      <c r="K53" s="212" t="s">
        <v>48</v>
      </c>
      <c r="L53" s="56"/>
      <c r="M53" s="56"/>
      <c r="N53" s="56"/>
      <c r="O53" s="7"/>
      <c r="P53" s="349"/>
      <c r="Q53" s="349"/>
      <c r="R53" s="353"/>
      <c r="S53" s="349"/>
      <c r="T53" s="349"/>
      <c r="U53" s="349"/>
      <c r="V53" s="354"/>
      <c r="W53" s="355"/>
      <c r="Z53" s="66"/>
      <c r="AA53" s="66"/>
      <c r="AB53" s="66"/>
      <c r="AC53" s="66"/>
      <c r="AD53" s="66"/>
      <c r="AE53" s="66"/>
      <c r="AF53" s="66"/>
      <c r="AG53" s="66"/>
      <c r="AH53" s="66"/>
      <c r="AI53" s="66"/>
      <c r="AJ53" s="66"/>
      <c r="AK53" s="66"/>
      <c r="AL53" s="66"/>
      <c r="AM53" s="66"/>
      <c r="AN53" s="66"/>
      <c r="AO53" s="66"/>
      <c r="AP53" s="66"/>
      <c r="AQ53" s="66"/>
      <c r="AR53" s="66"/>
      <c r="AS53" s="66"/>
    </row>
    <row r="54" spans="1:45" ht="18.75" customHeight="1" thickBot="1">
      <c r="A54" s="64"/>
      <c r="B54" s="198" t="s">
        <v>304</v>
      </c>
      <c r="C54" s="199" t="s">
        <v>88</v>
      </c>
      <c r="D54" s="199"/>
      <c r="E54" s="200">
        <f>IF(AND(E51&lt;&gt;"",E27&lt;&gt;""),E27/E51-1,"")</f>
        <v>-0.96510064331352163</v>
      </c>
      <c r="F54" s="201" t="str">
        <f>IF(E54&gt;=0, "Comply", "Not Comply")</f>
        <v>Not Comply</v>
      </c>
      <c r="G54" s="155" t="s">
        <v>305</v>
      </c>
      <c r="H54" s="157" t="s">
        <v>152</v>
      </c>
      <c r="I54" s="346"/>
      <c r="J54" s="158">
        <f>IF(AND(J16&lt;&gt;"",J53&lt;&gt;""),J53/(J16/10000),"")</f>
        <v>14600006363.115143</v>
      </c>
      <c r="K54" s="212" t="s">
        <v>96</v>
      </c>
      <c r="L54" s="56"/>
      <c r="M54" s="56"/>
      <c r="N54" s="56"/>
      <c r="O54" s="7"/>
      <c r="P54" s="349"/>
      <c r="Q54" s="349"/>
      <c r="R54" s="353"/>
      <c r="S54" s="349"/>
      <c r="T54" s="349"/>
      <c r="U54" s="349"/>
      <c r="V54" s="354"/>
      <c r="W54" s="355"/>
      <c r="Z54" s="66"/>
      <c r="AA54" s="66"/>
      <c r="AB54" s="66"/>
      <c r="AC54" s="66"/>
      <c r="AD54" s="66"/>
      <c r="AE54" s="66"/>
      <c r="AF54" s="66"/>
      <c r="AG54" s="66"/>
      <c r="AH54" s="66"/>
      <c r="AI54" s="66"/>
      <c r="AJ54" s="66"/>
      <c r="AK54" s="66"/>
      <c r="AL54" s="66"/>
      <c r="AM54" s="66"/>
      <c r="AN54" s="66"/>
      <c r="AO54" s="66"/>
      <c r="AP54" s="66"/>
      <c r="AQ54" s="66"/>
      <c r="AR54" s="66"/>
      <c r="AS54" s="66"/>
    </row>
    <row r="55" spans="1:45" ht="20.25" customHeight="1" thickTop="1">
      <c r="A55" s="56"/>
      <c r="B55" s="204"/>
      <c r="C55" s="204"/>
      <c r="D55" s="204"/>
      <c r="E55" s="204"/>
      <c r="F55" s="205"/>
      <c r="G55" s="155"/>
      <c r="H55" s="157"/>
      <c r="I55" s="356"/>
      <c r="J55" s="357"/>
      <c r="K55" s="212"/>
      <c r="L55" s="56"/>
      <c r="M55" s="56"/>
      <c r="N55" s="56"/>
      <c r="O55" s="7"/>
      <c r="P55" s="349"/>
      <c r="Q55" s="349"/>
      <c r="R55" s="353"/>
      <c r="S55" s="349"/>
      <c r="T55" s="349"/>
      <c r="U55" s="349"/>
      <c r="V55" s="354"/>
      <c r="W55" s="355"/>
    </row>
    <row r="56" spans="1:45" ht="20.25" customHeight="1">
      <c r="A56" s="56"/>
      <c r="B56" s="204"/>
      <c r="C56" s="204"/>
      <c r="D56" s="204"/>
      <c r="E56" s="204"/>
      <c r="F56" s="209"/>
      <c r="G56" s="155"/>
      <c r="H56" s="549" t="s">
        <v>153</v>
      </c>
      <c r="I56" s="550"/>
      <c r="J56" s="550"/>
      <c r="K56" s="358"/>
      <c r="L56" s="64"/>
      <c r="M56" s="64"/>
      <c r="N56" s="64"/>
      <c r="O56" s="56"/>
      <c r="P56" s="349"/>
      <c r="Q56" s="349"/>
      <c r="R56" s="353"/>
      <c r="S56" s="349"/>
      <c r="T56" s="349"/>
      <c r="U56" s="349"/>
      <c r="V56" s="354"/>
      <c r="W56" s="355"/>
    </row>
    <row r="57" spans="1:45" ht="20.25" customHeight="1">
      <c r="A57" s="56"/>
      <c r="B57" s="204"/>
      <c r="C57" s="204"/>
      <c r="D57" s="204"/>
      <c r="E57" s="204"/>
      <c r="F57" s="209"/>
      <c r="G57" s="155" t="s">
        <v>341</v>
      </c>
      <c r="H57" s="157" t="s">
        <v>154</v>
      </c>
      <c r="I57" s="359"/>
      <c r="J57" s="360">
        <f>IF(AND(J21=0,J26=0, J31=0), "", IF(E17&lt;&gt;"",E17/(J26+1),""))</f>
        <v>1.5</v>
      </c>
      <c r="K57" s="212" t="s">
        <v>28</v>
      </c>
      <c r="L57" s="347"/>
      <c r="M57" s="347"/>
      <c r="N57" s="347"/>
      <c r="O57" s="64"/>
      <c r="P57" s="64"/>
      <c r="Q57" s="64"/>
      <c r="R57" s="64"/>
      <c r="S57" s="64"/>
      <c r="T57" s="56"/>
      <c r="U57" s="56"/>
    </row>
    <row r="58" spans="1:45" ht="20.25" customHeight="1">
      <c r="A58" s="56"/>
      <c r="B58" s="204"/>
      <c r="C58" s="204"/>
      <c r="D58" s="204"/>
      <c r="E58" s="204"/>
      <c r="F58" s="209"/>
      <c r="G58" s="155" t="s">
        <v>342</v>
      </c>
      <c r="H58" s="157" t="s">
        <v>155</v>
      </c>
      <c r="I58" s="359"/>
      <c r="J58" s="360">
        <f>IF(AND(J21=0,J26=0, J31=0), "", IF(E16&lt;&gt;"",E16/(J31+1),""))</f>
        <v>1.5</v>
      </c>
      <c r="K58" s="212" t="s">
        <v>28</v>
      </c>
      <c r="L58" s="347"/>
      <c r="M58" s="347"/>
      <c r="N58" s="347"/>
      <c r="O58" s="56"/>
      <c r="P58" s="56"/>
      <c r="Q58" s="56"/>
      <c r="R58" s="56"/>
      <c r="S58" s="56"/>
      <c r="T58" s="56"/>
      <c r="U58" s="56"/>
    </row>
    <row r="59" spans="1:45" ht="20.25" customHeight="1">
      <c r="A59" s="56"/>
      <c r="B59" s="204"/>
      <c r="C59" s="204"/>
      <c r="D59" s="204"/>
      <c r="E59" s="204"/>
      <c r="F59" s="209"/>
      <c r="G59" s="155" t="s">
        <v>343</v>
      </c>
      <c r="H59" s="157" t="s">
        <v>156</v>
      </c>
      <c r="I59" s="361"/>
      <c r="J59" s="362">
        <f>IF(J57&lt;&gt;"", MAX(J57:J58), "")</f>
        <v>1.5</v>
      </c>
      <c r="K59" s="212" t="s">
        <v>28</v>
      </c>
      <c r="L59" s="347"/>
      <c r="M59" s="347"/>
      <c r="N59" s="347"/>
      <c r="O59" s="56"/>
      <c r="P59" s="56"/>
      <c r="Q59" s="56"/>
      <c r="R59" s="56"/>
      <c r="S59" s="56"/>
      <c r="T59" s="56"/>
      <c r="U59" s="56"/>
    </row>
    <row r="60" spans="1:45" ht="20.25" customHeight="1">
      <c r="A60" s="56"/>
      <c r="B60" s="204"/>
      <c r="C60" s="204"/>
      <c r="D60" s="204"/>
      <c r="E60" s="204"/>
      <c r="F60" s="209"/>
      <c r="G60" s="155" t="s">
        <v>305</v>
      </c>
      <c r="H60" s="157" t="s">
        <v>157</v>
      </c>
      <c r="I60" s="359"/>
      <c r="J60" s="363">
        <f>IF(AND(J15&lt;&gt;"",J59&lt;&gt;"",E26&lt;&gt;"",E29&lt;&gt;""),4*PI()^2*E26*10^9/12/(1-E29^2)*(J15/100/J59)^2,"")</f>
        <v>29113.22674731135</v>
      </c>
      <c r="K60" s="212" t="s">
        <v>96</v>
      </c>
      <c r="L60" s="347"/>
      <c r="M60" s="347"/>
      <c r="N60" s="347"/>
      <c r="O60" s="56"/>
      <c r="P60" s="56"/>
      <c r="Q60" s="56"/>
      <c r="R60" s="56"/>
      <c r="S60" s="56"/>
      <c r="T60" s="56"/>
      <c r="U60" s="56"/>
    </row>
    <row r="61" spans="1:45" ht="20.25" customHeight="1">
      <c r="A61" s="56"/>
      <c r="B61" s="204"/>
      <c r="C61" s="204"/>
      <c r="D61" s="204"/>
      <c r="E61" s="204"/>
      <c r="F61" s="209"/>
      <c r="G61" s="155"/>
      <c r="H61" s="157"/>
      <c r="I61" s="356"/>
      <c r="J61" s="357"/>
      <c r="K61" s="212"/>
      <c r="L61" s="347"/>
      <c r="M61" s="347"/>
      <c r="N61" s="347"/>
      <c r="O61" s="56"/>
      <c r="P61" s="56"/>
      <c r="Q61" s="56"/>
      <c r="R61" s="56"/>
      <c r="S61" s="56"/>
      <c r="T61" s="56"/>
      <c r="U61" s="56"/>
    </row>
    <row r="62" spans="1:45" ht="20.25" customHeight="1" thickBot="1">
      <c r="A62" s="56"/>
      <c r="B62" s="204"/>
      <c r="C62" s="204"/>
      <c r="D62" s="204"/>
      <c r="E62" s="204"/>
      <c r="F62" s="209"/>
      <c r="G62" s="155" t="s">
        <v>305</v>
      </c>
      <c r="H62" s="157" t="s">
        <v>152</v>
      </c>
      <c r="I62" s="359"/>
      <c r="J62" s="364">
        <f>IF(AND(J60&lt;&gt;"",J54&lt;&gt;""),IF(J54&gt;J60,J54/10^6,J60/10^6),IF(J60&lt;&gt;"",J60/10^6,IF(J54&lt;&gt;"",J54/10^6,"")))</f>
        <v>14600.006363115142</v>
      </c>
      <c r="K62" s="212" t="s">
        <v>54</v>
      </c>
      <c r="L62" s="347"/>
      <c r="M62" s="347"/>
      <c r="N62" s="347"/>
      <c r="O62" s="56"/>
      <c r="P62" s="56"/>
      <c r="Q62" s="56"/>
      <c r="R62" s="56"/>
      <c r="S62" s="56"/>
      <c r="T62" s="56"/>
      <c r="U62" s="56"/>
    </row>
    <row r="63" spans="1:45" ht="20.25" customHeight="1" thickBot="1">
      <c r="A63" s="365"/>
      <c r="B63" s="366"/>
      <c r="C63" s="366"/>
      <c r="D63" s="366"/>
      <c r="E63" s="366"/>
      <c r="F63" s="209"/>
      <c r="G63" s="155" t="s">
        <v>307</v>
      </c>
      <c r="H63" s="157" t="s">
        <v>260</v>
      </c>
      <c r="I63" s="356"/>
      <c r="J63" s="367">
        <f>IF(AND(J50&lt;&gt;"",J62&lt;&gt;""),J62/J50-1,"")</f>
        <v>8.6412975058869357E-4</v>
      </c>
      <c r="K63" s="223" t="str">
        <f>IF(J63&gt;=0, "Comply", "Not Comply")</f>
        <v>Comply</v>
      </c>
      <c r="L63" s="204"/>
      <c r="M63" s="204"/>
      <c r="N63" s="56"/>
      <c r="O63" s="56"/>
      <c r="P63" s="56"/>
      <c r="Q63" s="56"/>
      <c r="R63" s="56"/>
      <c r="S63" s="56"/>
      <c r="T63" s="56"/>
      <c r="U63" s="56"/>
    </row>
    <row r="64" spans="1:45" ht="20.25" customHeight="1" thickBot="1">
      <c r="A64" s="365"/>
      <c r="B64" s="366"/>
      <c r="C64" s="366"/>
      <c r="D64" s="366"/>
      <c r="E64" s="366"/>
      <c r="F64" s="209"/>
      <c r="G64" s="368"/>
      <c r="H64" s="225"/>
      <c r="I64" s="369"/>
      <c r="J64" s="227" t="s">
        <v>105</v>
      </c>
      <c r="K64" s="228">
        <v>0.25</v>
      </c>
      <c r="L64" s="56"/>
      <c r="M64" s="56"/>
      <c r="N64" s="56"/>
      <c r="O64" s="56"/>
      <c r="P64" s="56"/>
      <c r="Q64" s="56"/>
      <c r="R64" s="56"/>
      <c r="S64" s="56"/>
      <c r="T64" s="56"/>
      <c r="U64" s="56"/>
    </row>
    <row r="65" spans="1:21" ht="20.25" customHeight="1" thickTop="1">
      <c r="A65" s="56"/>
      <c r="B65" s="365"/>
      <c r="C65" s="365"/>
      <c r="D65" s="365"/>
      <c r="E65" s="365"/>
      <c r="F65" s="365"/>
      <c r="G65" s="56"/>
      <c r="H65" s="56"/>
      <c r="I65" s="317"/>
      <c r="J65" s="317"/>
      <c r="K65" s="229"/>
      <c r="L65" s="56"/>
      <c r="M65" s="56"/>
      <c r="N65" s="56"/>
      <c r="O65" s="56"/>
      <c r="P65" s="56"/>
      <c r="Q65" s="56"/>
      <c r="R65" s="56"/>
      <c r="S65" s="56"/>
      <c r="T65" s="56"/>
      <c r="U65" s="56"/>
    </row>
    <row r="66" spans="1:21" ht="20.25" customHeight="1" thickBot="1">
      <c r="A66" s="56"/>
      <c r="B66" s="56"/>
      <c r="C66" s="56"/>
      <c r="D66" s="56"/>
      <c r="E66" s="56"/>
      <c r="F66" s="56"/>
      <c r="G66" s="56"/>
      <c r="H66" s="56"/>
      <c r="I66" s="317"/>
      <c r="J66" s="317"/>
      <c r="K66" s="229"/>
      <c r="L66" s="56"/>
      <c r="M66" s="56"/>
      <c r="N66" s="56"/>
      <c r="O66" s="56"/>
      <c r="P66" s="56"/>
      <c r="Q66" s="56"/>
      <c r="R66" s="56"/>
      <c r="S66" s="56"/>
      <c r="T66" s="56"/>
      <c r="U66" s="56"/>
    </row>
    <row r="67" spans="1:21" ht="38.1" customHeight="1" thickTop="1" thickBot="1">
      <c r="A67" s="56"/>
      <c r="B67" s="56"/>
      <c r="C67" s="370"/>
      <c r="D67" s="370"/>
      <c r="E67" s="370"/>
      <c r="F67" s="370"/>
      <c r="G67" s="519" t="s">
        <v>106</v>
      </c>
      <c r="H67" s="520"/>
      <c r="I67" s="520"/>
      <c r="J67" s="520"/>
      <c r="K67" s="521"/>
      <c r="L67" s="56"/>
      <c r="M67" s="56"/>
      <c r="N67" s="56"/>
      <c r="O67" s="56"/>
      <c r="P67" s="56"/>
      <c r="Q67" s="56"/>
      <c r="R67" s="56"/>
      <c r="S67" s="56"/>
      <c r="T67" s="56"/>
      <c r="U67" s="56"/>
    </row>
    <row r="68" spans="1:21" ht="20.25" customHeight="1">
      <c r="A68" s="56"/>
      <c r="B68" s="56"/>
      <c r="C68" s="56"/>
      <c r="D68" s="56"/>
      <c r="E68" s="56"/>
      <c r="F68" s="56"/>
      <c r="G68" s="230" t="s">
        <v>308</v>
      </c>
      <c r="H68" s="231" t="s">
        <v>107</v>
      </c>
      <c r="I68" s="371"/>
      <c r="J68" s="372">
        <f>IF(AND(E24&lt;&gt;"",J16&lt;&gt;"",E15&lt;&gt;""),E24*J16/10000*E15,"")</f>
        <v>-50.398095638025552</v>
      </c>
      <c r="K68" s="234" t="s">
        <v>36</v>
      </c>
      <c r="L68" s="56"/>
      <c r="M68" s="56"/>
      <c r="N68" s="56"/>
      <c r="O68" s="56"/>
      <c r="P68" s="56"/>
      <c r="Q68" s="56"/>
      <c r="R68" s="56"/>
      <c r="S68" s="56"/>
      <c r="T68" s="56"/>
      <c r="U68" s="56"/>
    </row>
    <row r="69" spans="1:21" ht="20.25" customHeight="1">
      <c r="A69" s="56"/>
      <c r="B69" s="56"/>
      <c r="C69" s="56"/>
      <c r="D69" s="56"/>
      <c r="E69" s="56"/>
      <c r="F69" s="56"/>
      <c r="G69" s="235" t="s">
        <v>309</v>
      </c>
      <c r="H69" s="231" t="s">
        <v>46</v>
      </c>
      <c r="I69" s="371"/>
      <c r="J69" s="372">
        <f>IF(AND(E24&lt;&gt;"",E33&lt;&gt;"",E34&lt;&gt;"",E35&lt;&gt;""),E24*(E33+E34+E35)/100/100*E15,"")</f>
        <v>50.400000000000006</v>
      </c>
      <c r="K69" s="234" t="s">
        <v>36</v>
      </c>
      <c r="L69" s="56"/>
      <c r="M69" s="56"/>
      <c r="N69" s="56"/>
      <c r="O69" s="56"/>
      <c r="P69" s="56"/>
      <c r="Q69" s="56"/>
      <c r="R69" s="56"/>
      <c r="S69" s="56"/>
      <c r="T69" s="56"/>
      <c r="U69" s="56"/>
    </row>
    <row r="70" spans="1:21" ht="20.25" customHeight="1" thickBot="1">
      <c r="A70" s="56"/>
      <c r="B70" s="56"/>
      <c r="C70" s="56"/>
      <c r="D70" s="56"/>
      <c r="E70" s="56"/>
      <c r="F70" s="56"/>
      <c r="G70" s="235" t="s">
        <v>310</v>
      </c>
      <c r="H70" s="231" t="s">
        <v>108</v>
      </c>
      <c r="I70" s="220"/>
      <c r="J70" s="372">
        <f>IF(AND(J68&lt;&gt;"",J69&lt;&gt;""),IF(I70&lt;&gt;"",I70,0.25*(J68+J69)),"")</f>
        <v>4.7609049361341249E-4</v>
      </c>
      <c r="K70" s="234" t="s">
        <v>36</v>
      </c>
      <c r="L70" s="56"/>
      <c r="M70" s="56"/>
      <c r="N70" s="56"/>
      <c r="O70" s="56"/>
      <c r="P70" s="56"/>
      <c r="Q70" s="56"/>
      <c r="R70" s="56"/>
      <c r="S70" s="56"/>
      <c r="T70" s="56"/>
      <c r="U70" s="56"/>
    </row>
    <row r="71" spans="1:21" ht="20.25" customHeight="1" thickTop="1" thickBot="1">
      <c r="A71" s="56"/>
      <c r="B71" s="56"/>
      <c r="C71" s="56"/>
      <c r="D71" s="56"/>
      <c r="E71" s="56"/>
      <c r="F71" s="56"/>
      <c r="G71" s="522"/>
      <c r="H71" s="523"/>
      <c r="I71" s="523"/>
      <c r="J71" s="523"/>
      <c r="K71" s="524"/>
      <c r="L71" s="56"/>
      <c r="M71" s="56"/>
      <c r="N71" s="56"/>
      <c r="O71" s="56"/>
      <c r="P71" s="56"/>
      <c r="Q71" s="56"/>
      <c r="R71" s="56"/>
      <c r="S71" s="56"/>
      <c r="T71" s="56"/>
      <c r="U71" s="56"/>
    </row>
    <row r="72" spans="1:21" ht="20.25" customHeight="1" thickTop="1" thickBot="1">
      <c r="A72" s="56"/>
      <c r="B72" s="56"/>
      <c r="C72" s="56"/>
      <c r="D72" s="56"/>
      <c r="E72" s="56"/>
      <c r="F72" s="56"/>
      <c r="G72" s="237" t="s">
        <v>311</v>
      </c>
      <c r="H72" s="373" t="s">
        <v>259</v>
      </c>
      <c r="I72" s="374"/>
      <c r="J72" s="375">
        <f>IF(OR(J68&lt;&gt;"",J69&lt;&gt;"",J70&lt;&gt;""),SUM(J68:J70),"")</f>
        <v>2.3804524680670625E-3</v>
      </c>
      <c r="K72" s="376" t="s">
        <v>36</v>
      </c>
      <c r="L72" s="56"/>
      <c r="M72" s="56"/>
      <c r="N72" s="56"/>
      <c r="O72" s="56"/>
      <c r="P72" s="56"/>
      <c r="Q72" s="56"/>
      <c r="R72" s="56"/>
      <c r="S72" s="56"/>
      <c r="T72" s="56"/>
      <c r="U72" s="56"/>
    </row>
    <row r="73" spans="1:21" ht="20.25" customHeight="1" thickTop="1">
      <c r="A73" s="56"/>
      <c r="B73" s="56"/>
      <c r="C73" s="56"/>
      <c r="D73" s="56"/>
      <c r="E73" s="56"/>
      <c r="F73" s="56"/>
      <c r="G73" s="204"/>
      <c r="H73" s="204"/>
      <c r="I73" s="377"/>
      <c r="J73" s="377"/>
      <c r="K73" s="378"/>
      <c r="L73" s="56"/>
      <c r="M73" s="56"/>
      <c r="N73" s="56"/>
      <c r="O73" s="56"/>
      <c r="P73" s="56"/>
      <c r="Q73" s="56"/>
      <c r="R73" s="56"/>
      <c r="S73" s="56"/>
      <c r="T73" s="56"/>
      <c r="U73" s="56"/>
    </row>
    <row r="74" spans="1:21" ht="20.25" customHeight="1">
      <c r="A74" s="56"/>
      <c r="B74" s="56"/>
      <c r="C74" s="56"/>
      <c r="D74" s="56"/>
      <c r="E74" s="56"/>
      <c r="F74" s="56"/>
      <c r="G74" s="204"/>
      <c r="H74" s="204"/>
      <c r="I74" s="377"/>
      <c r="J74" s="377"/>
      <c r="K74" s="378"/>
      <c r="L74" s="56"/>
      <c r="M74" s="56"/>
      <c r="N74" s="56"/>
      <c r="O74" s="56"/>
      <c r="P74" s="56"/>
      <c r="Q74" s="56"/>
      <c r="R74" s="56"/>
      <c r="S74" s="56"/>
      <c r="T74" s="56"/>
      <c r="U74" s="56"/>
    </row>
    <row r="75" spans="1:21" ht="20.25" customHeight="1"/>
    <row r="76" spans="1:21" ht="20.25" customHeight="1"/>
    <row r="77" spans="1:21" ht="20.25" customHeight="1"/>
    <row r="78" spans="1:21" ht="20.25" customHeight="1"/>
    <row r="79" spans="1:21" ht="20.25" customHeight="1"/>
    <row r="80" spans="1:21"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row r="96"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row r="109" ht="20.25" customHeight="1"/>
    <row r="110" ht="20.25" customHeight="1"/>
    <row r="111" ht="20.25" customHeight="1"/>
    <row r="112" ht="20.25" customHeight="1"/>
    <row r="113" ht="20.25" customHeight="1"/>
    <row r="114" ht="20.25" customHeight="1"/>
    <row r="115" ht="20.25" customHeight="1"/>
    <row r="116" ht="20.25" customHeight="1"/>
    <row r="117" ht="20.25" customHeight="1"/>
    <row r="118" ht="20.25" customHeight="1"/>
    <row r="119" ht="20.25" customHeight="1"/>
    <row r="120" ht="20.25" customHeight="1"/>
    <row r="121" ht="20.25" customHeight="1"/>
    <row r="122" ht="20.25" customHeight="1"/>
    <row r="123" ht="20.25" customHeight="1"/>
    <row r="124" ht="20.25" customHeight="1"/>
    <row r="125" ht="20.25" customHeight="1"/>
    <row r="126" ht="20.25" customHeight="1"/>
    <row r="127" ht="20.25" customHeight="1"/>
    <row r="128" ht="20.25" customHeight="1"/>
    <row r="129" ht="20.25" customHeight="1"/>
    <row r="130" ht="20.25" customHeight="1"/>
    <row r="131" ht="20.25" customHeight="1"/>
    <row r="132" ht="20.25" customHeight="1"/>
    <row r="133" ht="20.25" customHeight="1"/>
    <row r="134" ht="20.25" customHeight="1"/>
    <row r="135" ht="20.25" customHeight="1"/>
    <row r="136" ht="20.25" customHeight="1"/>
    <row r="137" ht="20.25" customHeight="1"/>
    <row r="138" ht="20.25" customHeight="1"/>
    <row r="139" ht="20.25" customHeight="1"/>
    <row r="140" ht="20.25" customHeight="1"/>
    <row r="141" ht="20.25" customHeight="1"/>
    <row r="142" ht="20.25" customHeight="1"/>
    <row r="143" ht="20.25" customHeight="1"/>
    <row r="144" ht="20.25" customHeight="1"/>
    <row r="145" ht="20.25" customHeight="1"/>
    <row r="146" ht="20.25" customHeight="1"/>
    <row r="147" ht="20.25" customHeight="1"/>
    <row r="148" ht="20.25" customHeight="1"/>
    <row r="149" ht="20.25" customHeight="1"/>
    <row r="150" ht="20.25" customHeight="1"/>
    <row r="151" ht="20.25" customHeight="1"/>
    <row r="152" ht="20.25" customHeight="1"/>
    <row r="153" ht="20.25" customHeight="1"/>
    <row r="154" ht="20.25" customHeight="1"/>
    <row r="155" ht="20.25" customHeight="1"/>
    <row r="156" ht="20.25" customHeight="1"/>
    <row r="157" ht="20.25" customHeight="1"/>
    <row r="158" ht="20.25" customHeight="1"/>
    <row r="159" ht="20.25" customHeight="1"/>
    <row r="160" ht="20.25" customHeight="1"/>
    <row r="161" ht="20.25" customHeight="1"/>
    <row r="162" ht="20.25" customHeight="1"/>
    <row r="163" ht="20.25" customHeight="1"/>
    <row r="164" ht="20.25" customHeight="1"/>
    <row r="165" ht="20.25" customHeight="1"/>
    <row r="166" ht="20.25" customHeight="1"/>
    <row r="167" ht="20.25" customHeight="1"/>
    <row r="168" ht="20.25" customHeight="1"/>
    <row r="169" ht="20.25" customHeight="1"/>
    <row r="170" ht="20.25" customHeight="1"/>
    <row r="171" ht="20.25" customHeight="1"/>
    <row r="172" ht="20.25" customHeight="1"/>
    <row r="173" ht="20.25" customHeight="1"/>
    <row r="174" ht="20.25" customHeight="1"/>
    <row r="175" ht="20.25" customHeight="1"/>
    <row r="176" ht="20.25" customHeight="1"/>
    <row r="177" ht="20.25" customHeight="1"/>
    <row r="178" ht="20.25" customHeight="1"/>
    <row r="179" ht="20.25" customHeight="1"/>
    <row r="180" ht="20.25" customHeight="1"/>
    <row r="181" ht="20.25" customHeight="1"/>
    <row r="182" ht="20.25" customHeight="1"/>
    <row r="183" ht="20.25" customHeight="1"/>
    <row r="184" ht="20.25" customHeight="1"/>
    <row r="185" ht="20.25" customHeight="1"/>
    <row r="186" ht="20.25" customHeight="1"/>
    <row r="187" ht="20.25" customHeight="1"/>
    <row r="188" ht="20.25" customHeight="1"/>
    <row r="189" ht="20.25" customHeight="1"/>
    <row r="190" ht="20.25" customHeight="1"/>
    <row r="191" ht="20.25" customHeight="1"/>
    <row r="192" ht="20.25" customHeight="1"/>
    <row r="193" ht="20.25" customHeight="1"/>
    <row r="194" ht="20.25" customHeight="1"/>
    <row r="195" ht="20.25" customHeight="1"/>
    <row r="196" ht="20.25" customHeight="1"/>
    <row r="197" ht="20.25" customHeight="1"/>
    <row r="198" ht="20.25" customHeight="1"/>
    <row r="199" ht="20.25" customHeight="1"/>
    <row r="200" ht="20.25" customHeight="1"/>
    <row r="201" ht="20.25" customHeight="1"/>
    <row r="202" ht="20.25" customHeight="1"/>
    <row r="203" ht="20.25" customHeight="1"/>
    <row r="204" ht="20.25" customHeight="1"/>
    <row r="205" ht="20.25" customHeight="1"/>
    <row r="206" ht="20.25" customHeight="1"/>
    <row r="207" ht="20.25" customHeight="1"/>
    <row r="208" ht="20.25" customHeight="1"/>
    <row r="209" ht="20.25" customHeight="1"/>
    <row r="210" ht="20.25" customHeight="1"/>
    <row r="211" ht="20.25" customHeight="1"/>
    <row r="212" ht="20.25" customHeight="1"/>
    <row r="213" ht="20.25" customHeight="1"/>
    <row r="214" ht="20.25" customHeight="1"/>
    <row r="215" ht="20.25" customHeight="1"/>
    <row r="216" ht="20.25" customHeight="1"/>
    <row r="217" ht="20.25" customHeight="1"/>
    <row r="218" ht="20.25" customHeight="1"/>
    <row r="219" ht="20.25" customHeight="1"/>
    <row r="220" ht="20.25" customHeight="1"/>
    <row r="221" ht="20.25" customHeight="1"/>
    <row r="222" ht="20.25" customHeight="1"/>
    <row r="223" ht="20.25" customHeight="1"/>
    <row r="224" ht="20.25" customHeight="1"/>
    <row r="225" ht="20.25" customHeight="1"/>
    <row r="226" ht="20.25" customHeight="1"/>
    <row r="227" ht="20.25" customHeight="1"/>
    <row r="228" ht="20.25" customHeight="1"/>
    <row r="229" ht="20.25" customHeight="1"/>
    <row r="230" ht="20.25" customHeight="1"/>
    <row r="231" ht="20.25" customHeight="1"/>
    <row r="232" ht="20.25" customHeight="1"/>
    <row r="233" ht="20.25" customHeight="1"/>
    <row r="234" ht="20.25" customHeight="1"/>
    <row r="235" ht="20.25" customHeight="1"/>
    <row r="236" ht="20.25" customHeight="1"/>
    <row r="237" ht="20.25" customHeight="1"/>
    <row r="238" ht="20.25" customHeight="1"/>
    <row r="239" ht="20.25" customHeight="1"/>
    <row r="240" ht="20.25" customHeight="1"/>
    <row r="241" ht="20.25" customHeight="1"/>
    <row r="242" ht="20.25" customHeight="1"/>
    <row r="243" ht="20.25" customHeight="1"/>
    <row r="244" ht="20.25" customHeight="1"/>
    <row r="245" ht="20.25" customHeight="1"/>
    <row r="246" ht="20.25" customHeight="1"/>
    <row r="247" ht="20.25" customHeight="1"/>
    <row r="248" ht="20.25" customHeight="1"/>
    <row r="249" ht="20.25" customHeight="1"/>
    <row r="250" ht="20.25" customHeight="1"/>
    <row r="251" ht="20.25" customHeight="1"/>
    <row r="252" ht="20.25" customHeight="1"/>
    <row r="253" ht="20.25" customHeight="1"/>
    <row r="254" ht="20.25" customHeight="1"/>
    <row r="255" ht="20.25" customHeight="1"/>
    <row r="256" ht="20.25" customHeight="1"/>
    <row r="257" ht="20.25" customHeight="1"/>
    <row r="258" ht="20.25" customHeight="1"/>
    <row r="259" ht="20.25" customHeight="1"/>
    <row r="260" ht="20.25" customHeight="1"/>
    <row r="261" ht="20.25" customHeight="1"/>
    <row r="262" ht="20.25" customHeight="1"/>
    <row r="263" ht="20.25" customHeight="1"/>
    <row r="264" ht="20.25" customHeight="1"/>
    <row r="265" ht="20.25" customHeight="1"/>
    <row r="266" ht="20.25" customHeight="1"/>
    <row r="267" ht="20.25" customHeight="1"/>
    <row r="268" ht="20.25" customHeight="1"/>
    <row r="269" ht="20.25" customHeight="1"/>
  </sheetData>
  <sheetProtection selectLockedCells="1" selectUnlockedCells="1"/>
  <mergeCells count="14">
    <mergeCell ref="G71:K71"/>
    <mergeCell ref="E2:I7"/>
    <mergeCell ref="B13:F13"/>
    <mergeCell ref="G13:K13"/>
    <mergeCell ref="O15:O18"/>
    <mergeCell ref="B19:F19"/>
    <mergeCell ref="G19:K19"/>
    <mergeCell ref="O19:O28"/>
    <mergeCell ref="B22:F22"/>
    <mergeCell ref="O29:O38"/>
    <mergeCell ref="B40:K40"/>
    <mergeCell ref="H52:J52"/>
    <mergeCell ref="H56:J56"/>
    <mergeCell ref="G67:K67"/>
  </mergeCells>
  <conditionalFormatting sqref="K63">
    <cfRule type="expression" dxfId="9" priority="1" stopIfTrue="1">
      <formula>$J$63&gt;=0</formula>
    </cfRule>
    <cfRule type="expression" dxfId="8" priority="2" stopIfTrue="1">
      <formula>$J$63&lt;0</formula>
    </cfRule>
  </conditionalFormatting>
  <conditionalFormatting sqref="F53">
    <cfRule type="expression" dxfId="7" priority="3" stopIfTrue="1">
      <formula>$E$53&gt;=0</formula>
    </cfRule>
    <cfRule type="expression" dxfId="6" priority="4" stopIfTrue="1">
      <formula>$E$53&lt;0</formula>
    </cfRule>
  </conditionalFormatting>
  <conditionalFormatting sqref="F54">
    <cfRule type="expression" dxfId="5" priority="5" stopIfTrue="1">
      <formula>$E$54&gt;=0</formula>
    </cfRule>
    <cfRule type="expression" dxfId="4" priority="6" stopIfTrue="1">
      <formula>$E$54&lt;0</formula>
    </cfRule>
  </conditionalFormatting>
  <conditionalFormatting sqref="J47">
    <cfRule type="expression" dxfId="3" priority="7" stopIfTrue="1">
      <formula>$I$47&gt;=$J$45</formula>
    </cfRule>
    <cfRule type="expression" dxfId="2" priority="8" stopIfTrue="1">
      <formula>$I$47&lt;$J$45</formula>
    </cfRule>
  </conditionalFormatting>
  <conditionalFormatting sqref="J46">
    <cfRule type="expression" dxfId="1" priority="9" stopIfTrue="1">
      <formula>$I$46&gt;=$J$44</formula>
    </cfRule>
    <cfRule type="expression" dxfId="0" priority="10" stopIfTrue="1">
      <formula>$I$46&lt;$J$44</formula>
    </cfRule>
  </conditionalFormatting>
  <pageMargins left="0.74791666666666667" right="0.74791666666666667" top="0.98402777777777772" bottom="0.98402777777777772" header="0.51180555555555551" footer="0.51180555555555551"/>
  <pageSetup paperSize="9" firstPageNumber="0" orientation="landscape" horizontalDpi="300" verticalDpi="300" r:id="rId1"/>
  <headerFooter alignWithMargins="0"/>
  <drawing r:id="rId2"/>
  <legacyDrawing r:id="rId3"/>
  <oleObjects>
    <mc:AlternateContent xmlns:mc="http://schemas.openxmlformats.org/markup-compatibility/2006">
      <mc:Choice Requires="x14">
        <oleObject progId="Visio.Drawing.11" shapeId="12290" r:id="rId4">
          <objectPr defaultSize="0" autoPict="0" r:id="rId5">
            <anchor moveWithCells="1">
              <from>
                <xdr:col>11</xdr:col>
                <xdr:colOff>411480</xdr:colOff>
                <xdr:row>12</xdr:row>
                <xdr:rowOff>152400</xdr:rowOff>
              </from>
              <to>
                <xdr:col>13</xdr:col>
                <xdr:colOff>2232660</xdr:colOff>
                <xdr:row>35</xdr:row>
                <xdr:rowOff>160020</xdr:rowOff>
              </to>
            </anchor>
          </objectPr>
        </oleObject>
      </mc:Choice>
      <mc:Fallback>
        <oleObject progId="Visio.Drawing.11" shapeId="12290" r:id="rId4"/>
      </mc:Fallback>
    </mc:AlternateContent>
    <mc:AlternateContent xmlns:mc="http://schemas.openxmlformats.org/markup-compatibility/2006">
      <mc:Choice Requires="x14">
        <oleObject progId="Visio.Drawing.11" shapeId="12291" r:id="rId6">
          <objectPr defaultSize="0" autoPict="0" r:id="rId7">
            <anchor moveWithCells="1">
              <from>
                <xdr:col>11</xdr:col>
                <xdr:colOff>655320</xdr:colOff>
                <xdr:row>39</xdr:row>
                <xdr:rowOff>198120</xdr:rowOff>
              </from>
              <to>
                <xdr:col>19</xdr:col>
                <xdr:colOff>182880</xdr:colOff>
                <xdr:row>73</xdr:row>
                <xdr:rowOff>30480</xdr:rowOff>
              </to>
            </anchor>
          </objectPr>
        </oleObject>
      </mc:Choice>
      <mc:Fallback>
        <oleObject progId="Visio.Drawing.11" shapeId="12291" r:id="rId6"/>
      </mc:Fallback>
    </mc:AlternateContent>
  </oleObjects>
  <mc:AlternateContent xmlns:mc="http://schemas.openxmlformats.org/markup-compatibility/2006">
    <mc:Choice Requires="x14">
      <controls>
        <mc:AlternateContent xmlns:mc="http://schemas.openxmlformats.org/markup-compatibility/2006">
          <mc:Choice Requires="x14">
            <control shapeId="12289" r:id="rId8" name="Button 1">
              <controlPr defaultSize="0" print="0" autoFill="0" autoPict="0" macro="[0]!Pris_Stab_Ult_MS">
                <anchor moveWithCells="1" sizeWithCells="1">
                  <from>
                    <xdr:col>7</xdr:col>
                    <xdr:colOff>2179320</xdr:colOff>
                    <xdr:row>62</xdr:row>
                    <xdr:rowOff>0</xdr:rowOff>
                  </from>
                  <to>
                    <xdr:col>8</xdr:col>
                    <xdr:colOff>525780</xdr:colOff>
                    <xdr:row>63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Constants!$A$19:$A$27</xm:f>
          </x14:formula1>
          <xm:sqref>E23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249977111117893"/>
  </sheetPr>
  <dimension ref="A1:AH245"/>
  <sheetViews>
    <sheetView showGridLines="0" zoomScaleNormal="100" workbookViewId="0">
      <selection activeCell="M7" sqref="M7"/>
    </sheetView>
  </sheetViews>
  <sheetFormatPr defaultColWidth="9.08984375" defaultRowHeight="13.8"/>
  <cols>
    <col min="1" max="1" width="20.81640625" style="422" bestFit="1" customWidth="1"/>
    <col min="2" max="2" width="9.54296875" style="422" customWidth="1"/>
    <col min="3" max="3" width="10" style="422" customWidth="1"/>
    <col min="4" max="7" width="9.08984375" style="422"/>
    <col min="8" max="8" width="3.08984375" style="422" customWidth="1"/>
    <col min="9" max="16384" width="9.08984375" style="422"/>
  </cols>
  <sheetData>
    <row r="1" spans="1:34">
      <c r="A1" s="419">
        <v>1</v>
      </c>
      <c r="B1" s="420"/>
      <c r="C1" s="421"/>
      <c r="D1" s="421"/>
      <c r="E1" s="421"/>
      <c r="F1" s="421"/>
      <c r="G1" s="421"/>
      <c r="H1" s="420"/>
      <c r="I1" s="423"/>
      <c r="J1" s="423"/>
      <c r="K1" s="423"/>
      <c r="L1" s="423"/>
      <c r="M1" s="423"/>
      <c r="N1" s="423"/>
      <c r="O1" s="423"/>
      <c r="P1" s="423"/>
      <c r="Q1" s="423"/>
      <c r="R1" s="423"/>
      <c r="S1" s="423"/>
      <c r="T1" s="423"/>
      <c r="U1" s="423"/>
      <c r="V1" s="423"/>
      <c r="W1" s="423"/>
      <c r="X1" s="423"/>
      <c r="Y1" s="423"/>
      <c r="Z1" s="423"/>
      <c r="AA1" s="423"/>
      <c r="AB1" s="423"/>
      <c r="AC1" s="423"/>
      <c r="AD1" s="423"/>
      <c r="AE1" s="423"/>
      <c r="AF1" s="423"/>
      <c r="AG1" s="423"/>
      <c r="AH1" s="423"/>
    </row>
    <row r="2" spans="1:34">
      <c r="A2" s="419">
        <v>1</v>
      </c>
      <c r="B2" s="420"/>
      <c r="C2" s="421"/>
      <c r="D2" s="420"/>
      <c r="E2" s="420"/>
      <c r="F2" s="420"/>
      <c r="G2" s="420"/>
      <c r="H2" s="420"/>
      <c r="I2" s="423"/>
      <c r="J2" s="423"/>
      <c r="K2" s="423"/>
      <c r="L2" s="423"/>
      <c r="M2" s="423"/>
      <c r="N2" s="423"/>
      <c r="O2" s="423"/>
      <c r="P2" s="423"/>
      <c r="Q2" s="423"/>
      <c r="R2" s="423"/>
      <c r="S2" s="423"/>
      <c r="T2" s="423"/>
      <c r="U2" s="423"/>
      <c r="V2" s="423"/>
      <c r="W2" s="423"/>
      <c r="X2" s="423"/>
      <c r="Y2" s="423"/>
      <c r="Z2" s="423"/>
      <c r="AA2" s="423"/>
      <c r="AB2" s="423"/>
      <c r="AC2" s="423"/>
      <c r="AD2" s="423"/>
      <c r="AE2" s="423"/>
      <c r="AF2" s="423"/>
      <c r="AG2" s="423"/>
      <c r="AH2" s="423"/>
    </row>
    <row r="3" spans="1:34">
      <c r="A3" s="419">
        <v>1</v>
      </c>
      <c r="B3" s="420"/>
      <c r="C3" s="421"/>
      <c r="D3" s="420"/>
      <c r="E3" s="420"/>
      <c r="F3" s="420"/>
      <c r="G3" s="420"/>
      <c r="H3" s="420"/>
      <c r="I3" s="423"/>
      <c r="J3" s="423"/>
      <c r="K3" s="423"/>
      <c r="L3" s="423"/>
      <c r="M3" s="423"/>
      <c r="N3" s="423"/>
      <c r="O3" s="423"/>
      <c r="P3" s="423"/>
      <c r="Q3" s="423"/>
      <c r="R3" s="423"/>
      <c r="S3" s="423"/>
      <c r="T3" s="423"/>
      <c r="U3" s="423"/>
      <c r="V3" s="423"/>
      <c r="W3" s="423"/>
      <c r="X3" s="423"/>
      <c r="Y3" s="423"/>
      <c r="Z3" s="423"/>
      <c r="AA3" s="423"/>
      <c r="AB3" s="423"/>
      <c r="AC3" s="423"/>
      <c r="AD3" s="423"/>
      <c r="AE3" s="423"/>
      <c r="AF3" s="423"/>
      <c r="AG3" s="423"/>
      <c r="AH3" s="423"/>
    </row>
    <row r="4" spans="1:34">
      <c r="A4" s="419"/>
      <c r="B4" s="420"/>
      <c r="C4" s="421"/>
      <c r="D4" s="420"/>
      <c r="E4" s="420"/>
      <c r="F4" s="420"/>
      <c r="G4" s="420"/>
      <c r="H4" s="420"/>
      <c r="I4" s="423"/>
      <c r="J4" s="423"/>
      <c r="K4" s="423"/>
      <c r="L4" s="423"/>
      <c r="M4" s="423"/>
      <c r="N4" s="423"/>
      <c r="O4" s="423"/>
      <c r="P4" s="423"/>
      <c r="Q4" s="423"/>
      <c r="R4" s="423"/>
      <c r="S4" s="423"/>
      <c r="T4" s="423"/>
      <c r="U4" s="423"/>
      <c r="V4" s="423"/>
      <c r="W4" s="423"/>
      <c r="X4" s="423"/>
      <c r="Y4" s="423"/>
      <c r="Z4" s="423"/>
      <c r="AA4" s="423"/>
      <c r="AB4" s="423"/>
      <c r="AC4" s="423"/>
      <c r="AD4" s="423"/>
      <c r="AE4" s="423"/>
      <c r="AF4" s="423"/>
      <c r="AG4" s="423"/>
      <c r="AH4" s="423"/>
    </row>
    <row r="5" spans="1:34">
      <c r="A5" s="420"/>
      <c r="B5" s="420"/>
      <c r="C5" s="420"/>
      <c r="D5" s="420"/>
      <c r="E5" s="420"/>
      <c r="F5" s="420"/>
      <c r="G5" s="420"/>
      <c r="H5" s="420"/>
      <c r="I5" s="423"/>
      <c r="J5" s="423"/>
      <c r="K5" s="423"/>
      <c r="L5" s="423"/>
      <c r="M5" s="423"/>
      <c r="N5" s="423"/>
      <c r="O5" s="423"/>
      <c r="P5" s="423"/>
      <c r="Q5" s="423"/>
      <c r="R5" s="423"/>
      <c r="S5" s="423"/>
      <c r="T5" s="423"/>
      <c r="U5" s="423"/>
      <c r="V5" s="423"/>
      <c r="W5" s="423"/>
      <c r="X5" s="423"/>
      <c r="Y5" s="423"/>
      <c r="Z5" s="423"/>
      <c r="AA5" s="423"/>
      <c r="AB5" s="423"/>
      <c r="AC5" s="423"/>
      <c r="AD5" s="423"/>
      <c r="AE5" s="423"/>
      <c r="AF5" s="423"/>
      <c r="AG5" s="423"/>
      <c r="AH5" s="423"/>
    </row>
    <row r="6" spans="1:34">
      <c r="A6" s="420"/>
      <c r="B6" s="420"/>
      <c r="C6" s="420"/>
      <c r="D6" s="420"/>
      <c r="E6" s="420"/>
      <c r="F6" s="420"/>
      <c r="G6" s="420"/>
      <c r="H6" s="420"/>
      <c r="I6" s="423"/>
      <c r="J6" s="423"/>
      <c r="K6" s="423"/>
      <c r="L6" s="423"/>
      <c r="M6" s="423"/>
      <c r="N6" s="423"/>
      <c r="O6" s="423"/>
      <c r="P6" s="423"/>
      <c r="Q6" s="423"/>
      <c r="R6" s="423"/>
      <c r="S6" s="423"/>
      <c r="T6" s="423"/>
      <c r="U6" s="423"/>
      <c r="V6" s="423"/>
      <c r="W6" s="423"/>
      <c r="X6" s="423"/>
      <c r="Y6" s="423"/>
      <c r="Z6" s="423"/>
      <c r="AA6" s="423"/>
      <c r="AB6" s="423"/>
      <c r="AC6" s="423"/>
      <c r="AD6" s="423"/>
      <c r="AE6" s="423"/>
      <c r="AF6" s="423"/>
      <c r="AG6" s="423"/>
      <c r="AH6" s="423"/>
    </row>
    <row r="7" spans="1:34">
      <c r="A7" s="420"/>
      <c r="B7" s="420"/>
      <c r="C7" s="420"/>
      <c r="D7" s="420"/>
      <c r="E7" s="420"/>
      <c r="F7" s="420"/>
      <c r="G7" s="420"/>
      <c r="H7" s="420"/>
      <c r="I7" s="423"/>
      <c r="J7" s="423"/>
      <c r="K7" s="423"/>
      <c r="L7" s="423"/>
      <c r="M7" s="423"/>
      <c r="N7" s="423"/>
      <c r="O7" s="423"/>
      <c r="P7" s="423"/>
      <c r="Q7" s="423"/>
      <c r="R7" s="423"/>
      <c r="S7" s="423"/>
      <c r="T7" s="423"/>
      <c r="U7" s="423"/>
      <c r="V7" s="423"/>
      <c r="W7" s="423"/>
      <c r="X7" s="423"/>
      <c r="Y7" s="423"/>
      <c r="Z7" s="423"/>
      <c r="AA7" s="423"/>
      <c r="AB7" s="423"/>
      <c r="AC7" s="423"/>
      <c r="AD7" s="423"/>
      <c r="AE7" s="423"/>
      <c r="AF7" s="423"/>
      <c r="AG7" s="423"/>
      <c r="AH7" s="423"/>
    </row>
    <row r="8" spans="1:34">
      <c r="A8" s="420"/>
      <c r="B8" s="420"/>
      <c r="C8" s="420"/>
      <c r="D8" s="420"/>
      <c r="E8" s="420"/>
      <c r="F8" s="420"/>
      <c r="G8" s="420"/>
      <c r="H8" s="420"/>
      <c r="I8" s="423"/>
      <c r="J8" s="423"/>
      <c r="K8" s="423"/>
      <c r="L8" s="423"/>
      <c r="M8" s="423"/>
      <c r="N8" s="423"/>
      <c r="O8" s="423"/>
      <c r="P8" s="423"/>
      <c r="Q8" s="423"/>
      <c r="R8" s="423"/>
      <c r="S8" s="423"/>
      <c r="T8" s="423"/>
      <c r="U8" s="423"/>
      <c r="V8" s="423"/>
      <c r="W8" s="423"/>
      <c r="X8" s="423"/>
      <c r="Y8" s="423"/>
      <c r="Z8" s="423"/>
      <c r="AA8" s="423"/>
      <c r="AB8" s="423"/>
      <c r="AC8" s="423"/>
      <c r="AD8" s="423"/>
      <c r="AE8" s="423"/>
      <c r="AF8" s="423"/>
      <c r="AG8" s="423"/>
      <c r="AH8" s="423"/>
    </row>
    <row r="9" spans="1:34">
      <c r="A9" s="420"/>
      <c r="B9" s="420"/>
      <c r="C9" s="420"/>
      <c r="D9" s="420"/>
      <c r="E9" s="420"/>
      <c r="F9" s="420"/>
      <c r="G9" s="420"/>
      <c r="H9" s="420"/>
      <c r="I9" s="423"/>
      <c r="J9" s="423"/>
      <c r="K9" s="423"/>
      <c r="L9" s="423"/>
      <c r="M9" s="423"/>
      <c r="N9" s="423"/>
      <c r="O9" s="423"/>
      <c r="P9" s="423"/>
      <c r="Q9" s="423"/>
      <c r="R9" s="423"/>
      <c r="S9" s="423"/>
      <c r="T9" s="423"/>
      <c r="U9" s="423"/>
      <c r="V9" s="423"/>
      <c r="W9" s="423"/>
      <c r="X9" s="423"/>
      <c r="Y9" s="423"/>
      <c r="Z9" s="423"/>
      <c r="AA9" s="423"/>
      <c r="AB9" s="423"/>
      <c r="AC9" s="423"/>
      <c r="AD9" s="423"/>
      <c r="AE9" s="423"/>
      <c r="AF9" s="423"/>
      <c r="AG9" s="423"/>
      <c r="AH9" s="423"/>
    </row>
    <row r="10" spans="1:34">
      <c r="A10" s="420"/>
      <c r="B10" s="420"/>
      <c r="C10" s="420"/>
      <c r="D10" s="420"/>
      <c r="E10" s="420"/>
      <c r="F10" s="420"/>
      <c r="G10" s="420"/>
      <c r="H10" s="420"/>
      <c r="I10" s="423"/>
      <c r="J10" s="423"/>
      <c r="K10" s="423"/>
      <c r="L10" s="423"/>
      <c r="M10" s="423"/>
      <c r="N10" s="423"/>
      <c r="O10" s="423"/>
      <c r="P10" s="423"/>
      <c r="Q10" s="423"/>
      <c r="R10" s="423"/>
      <c r="S10" s="423"/>
      <c r="T10" s="423"/>
      <c r="U10" s="423"/>
      <c r="V10" s="423"/>
      <c r="W10" s="423"/>
      <c r="X10" s="423"/>
      <c r="Y10" s="423"/>
      <c r="Z10" s="423"/>
      <c r="AA10" s="423"/>
      <c r="AB10" s="423"/>
      <c r="AC10" s="423"/>
      <c r="AD10" s="423"/>
      <c r="AE10" s="423"/>
      <c r="AF10" s="423"/>
      <c r="AG10" s="423"/>
      <c r="AH10" s="423"/>
    </row>
    <row r="11" spans="1:34">
      <c r="A11" s="420"/>
      <c r="B11" s="420"/>
      <c r="C11" s="420"/>
      <c r="D11" s="420"/>
      <c r="E11" s="420"/>
      <c r="F11" s="420"/>
      <c r="G11" s="420"/>
      <c r="H11" s="420"/>
      <c r="I11" s="423"/>
      <c r="J11" s="423"/>
      <c r="K11" s="423"/>
      <c r="L11" s="423"/>
      <c r="M11" s="423"/>
      <c r="N11" s="423"/>
      <c r="O11" s="423"/>
      <c r="P11" s="423"/>
      <c r="Q11" s="423"/>
      <c r="R11" s="423"/>
      <c r="S11" s="423"/>
      <c r="T11" s="423"/>
      <c r="U11" s="423"/>
      <c r="V11" s="423"/>
      <c r="W11" s="423"/>
      <c r="X11" s="423"/>
      <c r="Y11" s="423"/>
      <c r="Z11" s="423"/>
      <c r="AA11" s="423"/>
      <c r="AB11" s="423"/>
      <c r="AC11" s="423"/>
      <c r="AD11" s="423"/>
      <c r="AE11" s="423"/>
      <c r="AF11" s="423"/>
      <c r="AG11" s="423"/>
      <c r="AH11" s="423"/>
    </row>
    <row r="12" spans="1:34">
      <c r="A12" s="420"/>
      <c r="B12" s="420"/>
      <c r="C12" s="420"/>
      <c r="D12" s="420"/>
      <c r="E12" s="420"/>
      <c r="F12" s="420"/>
      <c r="G12" s="420"/>
      <c r="H12" s="420"/>
      <c r="I12" s="423"/>
      <c r="J12" s="423"/>
      <c r="K12" s="423"/>
      <c r="L12" s="423"/>
      <c r="M12" s="423"/>
      <c r="N12" s="423"/>
      <c r="O12" s="423"/>
      <c r="P12" s="423"/>
      <c r="Q12" s="423"/>
      <c r="R12" s="423"/>
      <c r="S12" s="423"/>
      <c r="T12" s="423"/>
      <c r="U12" s="423"/>
      <c r="V12" s="423"/>
      <c r="W12" s="423"/>
      <c r="X12" s="423"/>
      <c r="Y12" s="423"/>
      <c r="Z12" s="423"/>
      <c r="AA12" s="423"/>
      <c r="AB12" s="423"/>
      <c r="AC12" s="423"/>
      <c r="AD12" s="423"/>
      <c r="AE12" s="423"/>
      <c r="AF12" s="423"/>
      <c r="AG12" s="423"/>
      <c r="AH12" s="423"/>
    </row>
    <row r="13" spans="1:34">
      <c r="A13" s="420"/>
      <c r="B13" s="420"/>
      <c r="C13" s="420"/>
      <c r="D13" s="420"/>
      <c r="E13" s="420"/>
      <c r="F13" s="420"/>
      <c r="G13" s="420"/>
      <c r="H13" s="420"/>
      <c r="I13" s="423"/>
      <c r="J13" s="423"/>
      <c r="K13" s="423"/>
      <c r="L13" s="423"/>
      <c r="M13" s="423"/>
      <c r="N13" s="423"/>
      <c r="O13" s="423"/>
      <c r="P13" s="423"/>
      <c r="Q13" s="423"/>
      <c r="R13" s="423"/>
      <c r="S13" s="423"/>
      <c r="T13" s="423"/>
      <c r="U13" s="423"/>
      <c r="V13" s="423"/>
      <c r="W13" s="423"/>
      <c r="X13" s="423"/>
      <c r="Y13" s="423"/>
      <c r="Z13" s="423"/>
      <c r="AA13" s="423"/>
      <c r="AB13" s="423"/>
      <c r="AC13" s="423"/>
      <c r="AD13" s="423"/>
      <c r="AE13" s="423"/>
      <c r="AF13" s="423"/>
      <c r="AG13" s="423"/>
      <c r="AH13" s="423"/>
    </row>
    <row r="14" spans="1:34">
      <c r="A14" s="420"/>
      <c r="B14" s="420"/>
      <c r="C14" s="420"/>
      <c r="D14" s="420"/>
      <c r="E14" s="420"/>
      <c r="F14" s="420"/>
      <c r="G14" s="420"/>
      <c r="H14" s="420"/>
      <c r="I14" s="423"/>
      <c r="J14" s="423"/>
      <c r="K14" s="423"/>
      <c r="L14" s="423"/>
      <c r="M14" s="423"/>
      <c r="N14" s="423"/>
      <c r="O14" s="423"/>
      <c r="P14" s="423"/>
      <c r="Q14" s="423"/>
      <c r="R14" s="423"/>
      <c r="S14" s="423"/>
      <c r="T14" s="423"/>
      <c r="U14" s="423"/>
      <c r="V14" s="423"/>
      <c r="W14" s="423"/>
      <c r="X14" s="423"/>
      <c r="Y14" s="423"/>
      <c r="Z14" s="423"/>
      <c r="AA14" s="423"/>
      <c r="AB14" s="423"/>
      <c r="AC14" s="423"/>
      <c r="AD14" s="423"/>
      <c r="AE14" s="423"/>
      <c r="AF14" s="423"/>
      <c r="AG14" s="423"/>
      <c r="AH14" s="423"/>
    </row>
    <row r="15" spans="1:34">
      <c r="A15" s="420"/>
      <c r="B15" s="420"/>
      <c r="C15" s="420"/>
      <c r="D15" s="420"/>
      <c r="E15" s="420"/>
      <c r="F15" s="420"/>
      <c r="G15" s="420"/>
      <c r="H15" s="420"/>
      <c r="I15" s="423"/>
      <c r="J15" s="423"/>
      <c r="K15" s="423"/>
      <c r="L15" s="423"/>
      <c r="M15" s="423"/>
      <c r="N15" s="423"/>
      <c r="O15" s="423"/>
      <c r="P15" s="423"/>
      <c r="Q15" s="423"/>
      <c r="R15" s="423"/>
      <c r="S15" s="423"/>
      <c r="T15" s="423"/>
      <c r="U15" s="423"/>
      <c r="V15" s="423"/>
      <c r="W15" s="423"/>
      <c r="X15" s="423"/>
      <c r="Y15" s="423"/>
      <c r="Z15" s="423"/>
      <c r="AA15" s="423"/>
      <c r="AB15" s="423"/>
      <c r="AC15" s="423"/>
      <c r="AD15" s="423"/>
      <c r="AE15" s="423"/>
      <c r="AF15" s="423"/>
      <c r="AG15" s="423"/>
      <c r="AH15" s="423"/>
    </row>
    <row r="16" spans="1:34">
      <c r="A16" s="420"/>
      <c r="B16" s="420"/>
      <c r="C16" s="420"/>
      <c r="D16" s="420"/>
      <c r="E16" s="420"/>
      <c r="F16" s="420"/>
      <c r="G16" s="420"/>
      <c r="H16" s="420"/>
      <c r="I16" s="423"/>
      <c r="J16" s="423"/>
      <c r="K16" s="423"/>
      <c r="L16" s="423"/>
      <c r="M16" s="423"/>
      <c r="N16" s="423"/>
      <c r="O16" s="423"/>
      <c r="P16" s="423"/>
      <c r="Q16" s="423"/>
      <c r="R16" s="423"/>
      <c r="S16" s="423"/>
      <c r="T16" s="423"/>
      <c r="U16" s="423"/>
      <c r="V16" s="423"/>
      <c r="W16" s="423"/>
      <c r="X16" s="423"/>
      <c r="Y16" s="423"/>
      <c r="Z16" s="423"/>
      <c r="AA16" s="423"/>
      <c r="AB16" s="423"/>
      <c r="AC16" s="423"/>
      <c r="AD16" s="423"/>
      <c r="AE16" s="423"/>
      <c r="AF16" s="423"/>
      <c r="AG16" s="423"/>
      <c r="AH16" s="423"/>
    </row>
    <row r="17" spans="1:34">
      <c r="A17" s="420"/>
      <c r="B17" s="420"/>
      <c r="C17" s="420"/>
      <c r="D17" s="420"/>
      <c r="E17" s="420"/>
      <c r="F17" s="420"/>
      <c r="G17" s="420"/>
      <c r="H17" s="420"/>
      <c r="I17" s="423"/>
      <c r="J17" s="423"/>
      <c r="K17" s="423"/>
      <c r="L17" s="423"/>
      <c r="M17" s="423"/>
      <c r="N17" s="423"/>
      <c r="O17" s="423"/>
      <c r="P17" s="423"/>
      <c r="Q17" s="423"/>
      <c r="R17" s="423"/>
      <c r="S17" s="423"/>
      <c r="T17" s="423"/>
      <c r="U17" s="423"/>
      <c r="V17" s="423"/>
      <c r="W17" s="423"/>
      <c r="X17" s="423"/>
      <c r="Y17" s="423"/>
      <c r="Z17" s="423"/>
      <c r="AA17" s="423"/>
      <c r="AB17" s="423"/>
      <c r="AC17" s="423"/>
      <c r="AD17" s="423"/>
      <c r="AE17" s="423"/>
      <c r="AF17" s="423"/>
      <c r="AG17" s="423"/>
      <c r="AH17" s="423"/>
    </row>
    <row r="18" spans="1:34">
      <c r="A18" s="420"/>
      <c r="B18" s="420"/>
      <c r="C18" s="420"/>
      <c r="D18" s="420"/>
      <c r="E18" s="420"/>
      <c r="F18" s="420"/>
      <c r="G18" s="420"/>
      <c r="H18" s="420"/>
      <c r="I18" s="423"/>
      <c r="J18" s="423"/>
      <c r="K18" s="423"/>
      <c r="L18" s="423"/>
      <c r="M18" s="423"/>
      <c r="N18" s="423"/>
      <c r="O18" s="423"/>
      <c r="P18" s="423"/>
      <c r="Q18" s="423"/>
      <c r="R18" s="423"/>
      <c r="S18" s="423"/>
      <c r="T18" s="423"/>
      <c r="U18" s="423"/>
      <c r="V18" s="423"/>
      <c r="W18" s="423"/>
      <c r="X18" s="423"/>
      <c r="Y18" s="423"/>
      <c r="Z18" s="423"/>
      <c r="AA18" s="423"/>
      <c r="AB18" s="423"/>
      <c r="AC18" s="423"/>
      <c r="AD18" s="423"/>
      <c r="AE18" s="423"/>
      <c r="AF18" s="423"/>
      <c r="AG18" s="423"/>
      <c r="AH18" s="423"/>
    </row>
    <row r="19" spans="1:34">
      <c r="A19" s="420"/>
      <c r="B19" s="420"/>
      <c r="C19" s="420"/>
      <c r="D19" s="420"/>
      <c r="E19" s="420"/>
      <c r="F19" s="420"/>
      <c r="G19" s="420"/>
      <c r="H19" s="420"/>
      <c r="I19" s="423"/>
      <c r="J19" s="423"/>
      <c r="K19" s="423"/>
      <c r="L19" s="423"/>
      <c r="M19" s="423"/>
      <c r="N19" s="423"/>
      <c r="O19" s="423"/>
      <c r="P19" s="423"/>
      <c r="Q19" s="423"/>
      <c r="R19" s="423"/>
      <c r="S19" s="423"/>
      <c r="T19" s="423"/>
      <c r="U19" s="423"/>
      <c r="V19" s="423"/>
      <c r="W19" s="423"/>
      <c r="X19" s="423"/>
      <c r="Y19" s="423"/>
      <c r="Z19" s="423"/>
      <c r="AA19" s="423"/>
      <c r="AB19" s="423"/>
      <c r="AC19" s="423"/>
      <c r="AD19" s="423"/>
      <c r="AE19" s="423"/>
      <c r="AF19" s="423"/>
      <c r="AG19" s="423"/>
      <c r="AH19" s="423"/>
    </row>
    <row r="20" spans="1:34">
      <c r="A20" s="420"/>
      <c r="B20" s="420"/>
      <c r="C20" s="420"/>
      <c r="D20" s="420"/>
      <c r="E20" s="420"/>
      <c r="F20" s="420"/>
      <c r="G20" s="420"/>
      <c r="H20" s="420"/>
      <c r="I20" s="423"/>
      <c r="J20" s="423"/>
      <c r="K20" s="423"/>
      <c r="L20" s="423"/>
      <c r="M20" s="423"/>
      <c r="N20" s="423"/>
      <c r="O20" s="423"/>
      <c r="P20" s="423"/>
      <c r="Q20" s="423"/>
      <c r="R20" s="423"/>
      <c r="S20" s="423"/>
      <c r="T20" s="423"/>
      <c r="U20" s="423"/>
      <c r="V20" s="423"/>
      <c r="W20" s="423"/>
      <c r="X20" s="423"/>
      <c r="Y20" s="423"/>
      <c r="Z20" s="423"/>
      <c r="AA20" s="423"/>
      <c r="AB20" s="423"/>
      <c r="AC20" s="423"/>
      <c r="AD20" s="423"/>
      <c r="AE20" s="423"/>
      <c r="AF20" s="423"/>
      <c r="AG20" s="423"/>
      <c r="AH20" s="423"/>
    </row>
    <row r="21" spans="1:34">
      <c r="A21" s="420"/>
      <c r="B21" s="420"/>
      <c r="C21" s="420"/>
      <c r="D21" s="420"/>
      <c r="E21" s="420"/>
      <c r="F21" s="420"/>
      <c r="G21" s="420"/>
      <c r="H21" s="420"/>
      <c r="I21" s="423"/>
      <c r="J21" s="423"/>
      <c r="K21" s="423"/>
      <c r="L21" s="423"/>
      <c r="M21" s="423"/>
      <c r="N21" s="423"/>
      <c r="O21" s="423"/>
      <c r="P21" s="423"/>
      <c r="Q21" s="423"/>
      <c r="R21" s="423"/>
      <c r="S21" s="423"/>
      <c r="T21" s="423"/>
      <c r="U21" s="423"/>
      <c r="V21" s="423"/>
      <c r="W21" s="423"/>
      <c r="X21" s="423"/>
      <c r="Y21" s="423"/>
      <c r="Z21" s="423"/>
      <c r="AA21" s="423"/>
      <c r="AB21" s="423"/>
      <c r="AC21" s="423"/>
      <c r="AD21" s="423"/>
      <c r="AE21" s="423"/>
      <c r="AF21" s="423"/>
      <c r="AG21" s="423"/>
      <c r="AH21" s="423"/>
    </row>
    <row r="22" spans="1:34">
      <c r="A22" s="420"/>
      <c r="B22" s="420"/>
      <c r="C22" s="420"/>
      <c r="D22" s="420"/>
      <c r="E22" s="420"/>
      <c r="F22" s="420"/>
      <c r="G22" s="420"/>
      <c r="H22" s="420"/>
      <c r="I22" s="423"/>
      <c r="J22" s="423"/>
      <c r="K22" s="423"/>
      <c r="L22" s="423"/>
      <c r="M22" s="423"/>
      <c r="N22" s="423"/>
      <c r="O22" s="423"/>
      <c r="P22" s="423"/>
      <c r="Q22" s="423"/>
      <c r="R22" s="423"/>
      <c r="S22" s="423"/>
      <c r="T22" s="423"/>
      <c r="U22" s="423"/>
      <c r="V22" s="423"/>
      <c r="W22" s="423"/>
      <c r="X22" s="423"/>
      <c r="Y22" s="423"/>
      <c r="Z22" s="423"/>
      <c r="AA22" s="423"/>
      <c r="AB22" s="423"/>
      <c r="AC22" s="423"/>
      <c r="AD22" s="423"/>
      <c r="AE22" s="423"/>
      <c r="AF22" s="423"/>
      <c r="AG22" s="423"/>
      <c r="AH22" s="423"/>
    </row>
    <row r="23" spans="1:34">
      <c r="A23" s="420"/>
      <c r="B23" s="420"/>
      <c r="C23" s="420"/>
      <c r="D23" s="420"/>
      <c r="E23" s="420"/>
      <c r="F23" s="420"/>
      <c r="G23" s="420"/>
      <c r="H23" s="420"/>
      <c r="I23" s="423"/>
      <c r="J23" s="423"/>
      <c r="K23" s="423"/>
      <c r="L23" s="423"/>
      <c r="M23" s="423"/>
      <c r="N23" s="423"/>
      <c r="O23" s="423"/>
      <c r="P23" s="423"/>
      <c r="Q23" s="423"/>
      <c r="R23" s="423"/>
      <c r="S23" s="423"/>
      <c r="T23" s="423"/>
      <c r="U23" s="423"/>
      <c r="V23" s="423"/>
      <c r="W23" s="423"/>
      <c r="X23" s="423"/>
      <c r="Y23" s="423"/>
      <c r="Z23" s="423"/>
      <c r="AA23" s="423"/>
      <c r="AB23" s="423"/>
      <c r="AC23" s="423"/>
      <c r="AD23" s="423"/>
      <c r="AE23" s="423"/>
      <c r="AF23" s="423"/>
      <c r="AG23" s="423"/>
      <c r="AH23" s="423"/>
    </row>
    <row r="24" spans="1:34">
      <c r="A24" s="420"/>
      <c r="B24" s="420"/>
      <c r="C24" s="420"/>
      <c r="D24" s="420"/>
      <c r="E24" s="420"/>
      <c r="F24" s="420"/>
      <c r="G24" s="420"/>
      <c r="H24" s="420"/>
      <c r="I24" s="423"/>
      <c r="J24" s="423"/>
      <c r="K24" s="423"/>
      <c r="L24" s="423"/>
      <c r="M24" s="423"/>
      <c r="N24" s="423"/>
      <c r="O24" s="423"/>
      <c r="P24" s="423"/>
      <c r="Q24" s="423"/>
      <c r="R24" s="423"/>
      <c r="S24" s="423"/>
      <c r="T24" s="423"/>
      <c r="U24" s="423"/>
      <c r="V24" s="423"/>
      <c r="W24" s="423"/>
      <c r="X24" s="423"/>
      <c r="Y24" s="423"/>
      <c r="Z24" s="423"/>
      <c r="AA24" s="423"/>
      <c r="AB24" s="423"/>
      <c r="AC24" s="423"/>
      <c r="AD24" s="423"/>
      <c r="AE24" s="423"/>
      <c r="AF24" s="423"/>
      <c r="AG24" s="423"/>
      <c r="AH24" s="423"/>
    </row>
    <row r="25" spans="1:34">
      <c r="A25" s="420"/>
      <c r="B25" s="420"/>
      <c r="C25" s="420"/>
      <c r="D25" s="420"/>
      <c r="E25" s="420"/>
      <c r="F25" s="420"/>
      <c r="G25" s="420"/>
      <c r="H25" s="420"/>
      <c r="I25" s="423"/>
      <c r="J25" s="423"/>
      <c r="K25" s="423"/>
      <c r="L25" s="423"/>
      <c r="M25" s="423"/>
      <c r="N25" s="423"/>
      <c r="O25" s="423"/>
      <c r="P25" s="423"/>
      <c r="Q25" s="423"/>
      <c r="R25" s="423"/>
      <c r="S25" s="423"/>
      <c r="T25" s="423"/>
      <c r="U25" s="423"/>
      <c r="V25" s="423"/>
      <c r="W25" s="423"/>
      <c r="X25" s="423"/>
      <c r="Y25" s="423"/>
      <c r="Z25" s="423"/>
      <c r="AA25" s="423"/>
      <c r="AB25" s="423"/>
      <c r="AC25" s="423"/>
      <c r="AD25" s="423"/>
      <c r="AE25" s="423"/>
      <c r="AF25" s="423"/>
      <c r="AG25" s="423"/>
      <c r="AH25" s="423"/>
    </row>
    <row r="26" spans="1:34">
      <c r="A26" s="420"/>
      <c r="B26" s="420"/>
      <c r="C26" s="420"/>
      <c r="D26" s="420"/>
      <c r="E26" s="420"/>
      <c r="F26" s="420"/>
      <c r="G26" s="420"/>
      <c r="H26" s="420"/>
      <c r="I26" s="423"/>
      <c r="J26" s="423"/>
      <c r="K26" s="423"/>
      <c r="L26" s="423"/>
      <c r="M26" s="423"/>
      <c r="N26" s="423"/>
      <c r="O26" s="423"/>
      <c r="P26" s="423"/>
      <c r="Q26" s="423"/>
      <c r="R26" s="423"/>
      <c r="S26" s="423"/>
      <c r="T26" s="423"/>
      <c r="U26" s="423"/>
      <c r="V26" s="423"/>
      <c r="W26" s="423"/>
      <c r="X26" s="423"/>
      <c r="Y26" s="423"/>
      <c r="Z26" s="423"/>
      <c r="AA26" s="423"/>
      <c r="AB26" s="423"/>
      <c r="AC26" s="423"/>
      <c r="AD26" s="423"/>
      <c r="AE26" s="423"/>
      <c r="AF26" s="423"/>
      <c r="AG26" s="423"/>
      <c r="AH26" s="423"/>
    </row>
    <row r="27" spans="1:34">
      <c r="A27" s="420"/>
      <c r="B27" s="420"/>
      <c r="C27" s="420"/>
      <c r="D27" s="420"/>
      <c r="E27" s="420"/>
      <c r="F27" s="420"/>
      <c r="G27" s="420"/>
      <c r="H27" s="420"/>
      <c r="I27" s="423"/>
      <c r="J27" s="423"/>
      <c r="K27" s="423"/>
      <c r="L27" s="423"/>
      <c r="M27" s="423"/>
      <c r="N27" s="423"/>
      <c r="O27" s="423"/>
      <c r="P27" s="423"/>
      <c r="Q27" s="423"/>
      <c r="R27" s="423"/>
      <c r="S27" s="423"/>
      <c r="T27" s="423"/>
      <c r="U27" s="423"/>
      <c r="V27" s="423"/>
      <c r="W27" s="423"/>
      <c r="X27" s="423"/>
      <c r="Y27" s="423"/>
      <c r="Z27" s="423"/>
      <c r="AA27" s="423"/>
      <c r="AB27" s="423"/>
      <c r="AC27" s="423"/>
      <c r="AD27" s="423"/>
      <c r="AE27" s="423"/>
      <c r="AF27" s="423"/>
      <c r="AG27" s="423"/>
      <c r="AH27" s="423"/>
    </row>
    <row r="28" spans="1:34">
      <c r="A28" s="420"/>
      <c r="B28" s="420"/>
      <c r="C28" s="420"/>
      <c r="D28" s="420"/>
      <c r="E28" s="420"/>
      <c r="F28" s="420"/>
      <c r="G28" s="420"/>
      <c r="H28" s="420"/>
      <c r="I28" s="423"/>
      <c r="J28" s="423"/>
      <c r="K28" s="423"/>
      <c r="L28" s="423"/>
      <c r="M28" s="423"/>
      <c r="N28" s="423"/>
      <c r="O28" s="423"/>
      <c r="P28" s="423"/>
      <c r="Q28" s="423"/>
      <c r="R28" s="423"/>
      <c r="S28" s="423"/>
      <c r="T28" s="423"/>
      <c r="U28" s="423"/>
      <c r="V28" s="423"/>
      <c r="W28" s="423"/>
      <c r="X28" s="423"/>
      <c r="Y28" s="423"/>
      <c r="Z28" s="423"/>
      <c r="AA28" s="423"/>
      <c r="AB28" s="423"/>
      <c r="AC28" s="423"/>
      <c r="AD28" s="423"/>
      <c r="AE28" s="423"/>
      <c r="AF28" s="423"/>
      <c r="AG28" s="423"/>
      <c r="AH28" s="423"/>
    </row>
    <row r="29" spans="1:34">
      <c r="A29" s="420"/>
      <c r="B29" s="420"/>
      <c r="C29" s="420"/>
      <c r="D29" s="420"/>
      <c r="E29" s="420"/>
      <c r="F29" s="420"/>
      <c r="G29" s="420"/>
      <c r="H29" s="420"/>
      <c r="I29" s="423"/>
      <c r="J29" s="423"/>
      <c r="K29" s="423"/>
      <c r="L29" s="423"/>
      <c r="M29" s="423"/>
      <c r="N29" s="423"/>
      <c r="O29" s="423"/>
      <c r="P29" s="423"/>
      <c r="Q29" s="423"/>
      <c r="R29" s="423"/>
      <c r="S29" s="423"/>
      <c r="T29" s="423"/>
      <c r="U29" s="423"/>
      <c r="V29" s="423"/>
      <c r="W29" s="423"/>
      <c r="X29" s="423"/>
      <c r="Y29" s="423"/>
      <c r="Z29" s="423"/>
      <c r="AA29" s="423"/>
      <c r="AB29" s="423"/>
      <c r="AC29" s="423"/>
      <c r="AD29" s="423"/>
      <c r="AE29" s="423"/>
      <c r="AF29" s="423"/>
      <c r="AG29" s="423"/>
      <c r="AH29" s="423"/>
    </row>
    <row r="30" spans="1:34">
      <c r="A30" s="420"/>
      <c r="B30" s="420"/>
      <c r="C30" s="420"/>
      <c r="D30" s="420"/>
      <c r="E30" s="420"/>
      <c r="F30" s="420"/>
      <c r="G30" s="420"/>
      <c r="H30" s="420"/>
      <c r="I30" s="423"/>
      <c r="J30" s="423"/>
      <c r="K30" s="423"/>
      <c r="L30" s="423"/>
      <c r="M30" s="423"/>
      <c r="N30" s="423"/>
      <c r="O30" s="423"/>
      <c r="P30" s="423"/>
      <c r="Q30" s="423"/>
      <c r="R30" s="423"/>
      <c r="S30" s="423"/>
      <c r="T30" s="423"/>
      <c r="U30" s="423"/>
      <c r="V30" s="423"/>
      <c r="W30" s="423"/>
      <c r="X30" s="423"/>
      <c r="Y30" s="423"/>
      <c r="Z30" s="423"/>
      <c r="AA30" s="423"/>
      <c r="AB30" s="423"/>
      <c r="AC30" s="423"/>
      <c r="AD30" s="423"/>
      <c r="AE30" s="423"/>
      <c r="AF30" s="423"/>
      <c r="AG30" s="423"/>
      <c r="AH30" s="423"/>
    </row>
    <row r="31" spans="1:34">
      <c r="A31" s="420"/>
      <c r="B31" s="420"/>
      <c r="C31" s="420"/>
      <c r="D31" s="420"/>
      <c r="E31" s="420"/>
      <c r="F31" s="420"/>
      <c r="G31" s="420"/>
      <c r="H31" s="420"/>
      <c r="I31" s="423"/>
      <c r="J31" s="423"/>
      <c r="K31" s="423"/>
      <c r="L31" s="423"/>
      <c r="M31" s="423"/>
      <c r="N31" s="423"/>
      <c r="O31" s="423"/>
      <c r="P31" s="423"/>
      <c r="Q31" s="423"/>
      <c r="R31" s="423"/>
      <c r="S31" s="423"/>
      <c r="T31" s="423"/>
      <c r="U31" s="423"/>
      <c r="V31" s="423"/>
      <c r="W31" s="423"/>
      <c r="X31" s="423"/>
      <c r="Y31" s="423"/>
      <c r="Z31" s="423"/>
      <c r="AA31" s="423"/>
      <c r="AB31" s="423"/>
      <c r="AC31" s="423"/>
      <c r="AD31" s="423"/>
      <c r="AE31" s="423"/>
      <c r="AF31" s="423"/>
      <c r="AG31" s="423"/>
      <c r="AH31" s="423"/>
    </row>
    <row r="32" spans="1:34">
      <c r="A32" s="420"/>
      <c r="B32" s="420"/>
      <c r="C32" s="420"/>
      <c r="D32" s="420"/>
      <c r="E32" s="420"/>
      <c r="F32" s="420"/>
      <c r="G32" s="420"/>
      <c r="H32" s="420"/>
      <c r="I32" s="423"/>
      <c r="J32" s="423"/>
      <c r="K32" s="423"/>
      <c r="L32" s="423"/>
      <c r="M32" s="423"/>
      <c r="N32" s="423"/>
      <c r="O32" s="423"/>
      <c r="P32" s="423"/>
      <c r="Q32" s="423"/>
      <c r="R32" s="423"/>
      <c r="S32" s="423"/>
      <c r="T32" s="423"/>
      <c r="U32" s="423"/>
      <c r="V32" s="423"/>
      <c r="W32" s="423"/>
      <c r="X32" s="423"/>
      <c r="Y32" s="423"/>
      <c r="Z32" s="423"/>
      <c r="AA32" s="423"/>
      <c r="AB32" s="423"/>
      <c r="AC32" s="423"/>
      <c r="AD32" s="423"/>
      <c r="AE32" s="423"/>
      <c r="AF32" s="423"/>
      <c r="AG32" s="423"/>
      <c r="AH32" s="423"/>
    </row>
    <row r="33" spans="1:34">
      <c r="A33" s="421"/>
      <c r="B33" s="421"/>
      <c r="C33" s="421"/>
      <c r="D33" s="421"/>
      <c r="E33" s="421"/>
      <c r="F33" s="421"/>
      <c r="G33" s="421"/>
      <c r="H33" s="421"/>
      <c r="I33" s="423"/>
      <c r="J33" s="423"/>
      <c r="K33" s="423"/>
      <c r="L33" s="423"/>
      <c r="M33" s="423"/>
      <c r="N33" s="423"/>
      <c r="O33" s="423"/>
      <c r="P33" s="423"/>
      <c r="Q33" s="423"/>
      <c r="R33" s="423"/>
      <c r="S33" s="423"/>
      <c r="T33" s="423"/>
      <c r="U33" s="423"/>
      <c r="V33" s="423"/>
      <c r="W33" s="423"/>
      <c r="X33" s="423"/>
      <c r="Y33" s="423"/>
      <c r="Z33" s="423"/>
      <c r="AA33" s="423"/>
      <c r="AB33" s="423"/>
      <c r="AC33" s="423"/>
      <c r="AD33" s="423"/>
      <c r="AE33" s="423"/>
      <c r="AF33" s="423"/>
      <c r="AG33" s="423"/>
      <c r="AH33" s="423"/>
    </row>
    <row r="34" spans="1:34">
      <c r="A34" s="421"/>
      <c r="B34" s="421"/>
      <c r="C34" s="421"/>
      <c r="D34" s="421"/>
      <c r="E34" s="421"/>
      <c r="F34" s="421"/>
      <c r="G34" s="421"/>
      <c r="H34" s="421"/>
      <c r="I34" s="423"/>
      <c r="J34" s="423"/>
      <c r="K34" s="423"/>
      <c r="L34" s="423"/>
      <c r="M34" s="423"/>
      <c r="N34" s="423"/>
      <c r="O34" s="423"/>
      <c r="P34" s="423"/>
      <c r="Q34" s="423"/>
      <c r="R34" s="423"/>
      <c r="S34" s="423"/>
      <c r="T34" s="423"/>
      <c r="U34" s="423"/>
      <c r="V34" s="423"/>
      <c r="W34" s="423"/>
      <c r="X34" s="423"/>
      <c r="Y34" s="423"/>
      <c r="Z34" s="423"/>
      <c r="AA34" s="423"/>
      <c r="AB34" s="423"/>
      <c r="AC34" s="423"/>
      <c r="AD34" s="423"/>
      <c r="AE34" s="423"/>
      <c r="AF34" s="423"/>
      <c r="AG34" s="423"/>
      <c r="AH34" s="423"/>
    </row>
    <row r="35" spans="1:34">
      <c r="A35" s="421"/>
      <c r="B35" s="421"/>
      <c r="C35" s="421"/>
      <c r="D35" s="421"/>
      <c r="E35" s="421"/>
      <c r="F35" s="421"/>
      <c r="G35" s="421"/>
      <c r="H35" s="421"/>
      <c r="I35" s="423"/>
      <c r="J35" s="423"/>
      <c r="K35" s="423"/>
      <c r="L35" s="423"/>
      <c r="M35" s="423"/>
      <c r="N35" s="423"/>
      <c r="O35" s="423"/>
      <c r="P35" s="423"/>
      <c r="Q35" s="423"/>
      <c r="R35" s="423"/>
      <c r="S35" s="423"/>
      <c r="T35" s="423"/>
      <c r="U35" s="423"/>
      <c r="V35" s="423"/>
      <c r="W35" s="423"/>
      <c r="X35" s="423"/>
      <c r="Y35" s="423"/>
      <c r="Z35" s="423"/>
      <c r="AA35" s="423"/>
      <c r="AB35" s="423"/>
      <c r="AC35" s="423"/>
      <c r="AD35" s="423"/>
      <c r="AE35" s="423"/>
      <c r="AF35" s="423"/>
      <c r="AG35" s="423"/>
      <c r="AH35" s="423"/>
    </row>
    <row r="36" spans="1:34">
      <c r="A36" s="421"/>
      <c r="B36" s="421"/>
      <c r="C36" s="421"/>
      <c r="D36" s="421"/>
      <c r="E36" s="421"/>
      <c r="F36" s="421"/>
      <c r="G36" s="421"/>
      <c r="H36" s="421"/>
      <c r="I36" s="423"/>
      <c r="J36" s="423"/>
      <c r="K36" s="423"/>
      <c r="L36" s="423"/>
      <c r="M36" s="423"/>
      <c r="N36" s="423"/>
      <c r="O36" s="423"/>
      <c r="P36" s="423"/>
      <c r="Q36" s="423"/>
      <c r="R36" s="423"/>
      <c r="S36" s="423"/>
      <c r="T36" s="423"/>
      <c r="U36" s="423"/>
      <c r="V36" s="423"/>
      <c r="W36" s="423"/>
      <c r="X36" s="423"/>
      <c r="Y36" s="423"/>
      <c r="Z36" s="423"/>
      <c r="AA36" s="423"/>
      <c r="AB36" s="423"/>
      <c r="AC36" s="423"/>
      <c r="AD36" s="423"/>
      <c r="AE36" s="423"/>
      <c r="AF36" s="423"/>
      <c r="AG36" s="423"/>
      <c r="AH36" s="423"/>
    </row>
    <row r="37" spans="1:34">
      <c r="A37" s="421"/>
      <c r="B37" s="421"/>
      <c r="C37" s="421"/>
      <c r="D37" s="421"/>
      <c r="E37" s="421"/>
      <c r="F37" s="421"/>
      <c r="G37" s="421"/>
      <c r="H37" s="421"/>
      <c r="I37" s="423"/>
      <c r="J37" s="423"/>
      <c r="K37" s="423"/>
      <c r="L37" s="423"/>
      <c r="M37" s="423"/>
      <c r="N37" s="423"/>
      <c r="O37" s="423"/>
      <c r="P37" s="423"/>
      <c r="Q37" s="423"/>
      <c r="R37" s="423"/>
      <c r="S37" s="423"/>
      <c r="T37" s="423"/>
      <c r="U37" s="423"/>
      <c r="V37" s="423"/>
      <c r="W37" s="423"/>
      <c r="X37" s="423"/>
      <c r="Y37" s="423"/>
      <c r="Z37" s="423"/>
      <c r="AA37" s="423"/>
      <c r="AB37" s="423"/>
      <c r="AC37" s="423"/>
      <c r="AD37" s="423"/>
      <c r="AE37" s="423"/>
      <c r="AF37" s="423"/>
      <c r="AG37" s="423"/>
      <c r="AH37" s="423"/>
    </row>
    <row r="38" spans="1:34">
      <c r="A38" s="421"/>
      <c r="B38" s="421"/>
      <c r="C38" s="421"/>
      <c r="D38" s="421"/>
      <c r="E38" s="421"/>
      <c r="F38" s="421"/>
      <c r="G38" s="421"/>
      <c r="H38" s="421"/>
      <c r="I38" s="423"/>
      <c r="J38" s="423"/>
      <c r="K38" s="423"/>
      <c r="L38" s="423"/>
      <c r="M38" s="423"/>
      <c r="N38" s="423"/>
      <c r="O38" s="423"/>
      <c r="P38" s="423"/>
      <c r="Q38" s="423"/>
      <c r="R38" s="423"/>
      <c r="S38" s="423"/>
      <c r="T38" s="423"/>
      <c r="U38" s="423"/>
      <c r="V38" s="423"/>
      <c r="W38" s="423"/>
      <c r="X38" s="423"/>
      <c r="Y38" s="423"/>
      <c r="Z38" s="423"/>
      <c r="AA38" s="423"/>
      <c r="AB38" s="423"/>
      <c r="AC38" s="423"/>
      <c r="AD38" s="423"/>
      <c r="AE38" s="423"/>
      <c r="AF38" s="423"/>
      <c r="AG38" s="423"/>
      <c r="AH38" s="423"/>
    </row>
    <row r="39" spans="1:34">
      <c r="A39" s="421"/>
      <c r="B39" s="421"/>
      <c r="C39" s="421"/>
      <c r="D39" s="421"/>
      <c r="E39" s="421"/>
      <c r="F39" s="421"/>
      <c r="G39" s="421"/>
      <c r="H39" s="421"/>
      <c r="I39" s="423"/>
      <c r="J39" s="423"/>
      <c r="K39" s="423"/>
      <c r="L39" s="423"/>
      <c r="M39" s="423"/>
      <c r="N39" s="423"/>
      <c r="O39" s="423"/>
      <c r="P39" s="423"/>
      <c r="Q39" s="423"/>
      <c r="R39" s="423"/>
      <c r="S39" s="423"/>
      <c r="T39" s="423"/>
      <c r="U39" s="423"/>
      <c r="V39" s="423"/>
      <c r="W39" s="423"/>
      <c r="X39" s="423"/>
      <c r="Y39" s="423"/>
      <c r="Z39" s="423"/>
      <c r="AA39" s="423"/>
      <c r="AB39" s="423"/>
      <c r="AC39" s="423"/>
      <c r="AD39" s="423"/>
      <c r="AE39" s="423"/>
      <c r="AF39" s="423"/>
      <c r="AG39" s="423"/>
      <c r="AH39" s="423"/>
    </row>
    <row r="40" spans="1:34">
      <c r="A40" s="421"/>
      <c r="B40" s="421"/>
      <c r="C40" s="421"/>
      <c r="D40" s="421"/>
      <c r="E40" s="421"/>
      <c r="F40" s="421"/>
      <c r="G40" s="421"/>
      <c r="H40" s="421"/>
      <c r="I40" s="423"/>
      <c r="J40" s="423"/>
      <c r="K40" s="423"/>
      <c r="L40" s="423"/>
      <c r="M40" s="423"/>
      <c r="N40" s="423"/>
      <c r="O40" s="423"/>
      <c r="P40" s="423"/>
      <c r="Q40" s="423"/>
      <c r="R40" s="423"/>
      <c r="S40" s="423"/>
      <c r="T40" s="423"/>
      <c r="U40" s="423"/>
      <c r="V40" s="423"/>
      <c r="W40" s="423"/>
      <c r="X40" s="423"/>
      <c r="Y40" s="423"/>
      <c r="Z40" s="423"/>
      <c r="AA40" s="423"/>
      <c r="AB40" s="423"/>
      <c r="AC40" s="423"/>
      <c r="AD40" s="423"/>
      <c r="AE40" s="423"/>
      <c r="AF40" s="423"/>
      <c r="AG40" s="423"/>
      <c r="AH40" s="423"/>
    </row>
    <row r="41" spans="1:34">
      <c r="A41" s="421"/>
      <c r="B41" s="421"/>
      <c r="C41" s="421"/>
      <c r="D41" s="421"/>
      <c r="E41" s="421"/>
      <c r="F41" s="421"/>
      <c r="G41" s="421"/>
      <c r="H41" s="421"/>
      <c r="I41" s="423"/>
      <c r="J41" s="423"/>
      <c r="K41" s="423"/>
      <c r="L41" s="423"/>
      <c r="M41" s="423"/>
      <c r="N41" s="423"/>
      <c r="O41" s="423"/>
      <c r="P41" s="423"/>
      <c r="Q41" s="423"/>
      <c r="R41" s="423"/>
      <c r="S41" s="423"/>
      <c r="T41" s="423"/>
      <c r="U41" s="423"/>
      <c r="V41" s="423"/>
      <c r="W41" s="423"/>
      <c r="X41" s="423"/>
      <c r="Y41" s="423"/>
      <c r="Z41" s="423"/>
      <c r="AA41" s="423"/>
      <c r="AB41" s="423"/>
      <c r="AC41" s="423"/>
      <c r="AD41" s="423"/>
      <c r="AE41" s="423"/>
      <c r="AF41" s="423"/>
      <c r="AG41" s="423"/>
      <c r="AH41" s="423"/>
    </row>
    <row r="42" spans="1:34">
      <c r="A42" s="421"/>
      <c r="B42" s="421"/>
      <c r="C42" s="421"/>
      <c r="D42" s="421"/>
      <c r="E42" s="421"/>
      <c r="F42" s="421"/>
      <c r="G42" s="421"/>
      <c r="H42" s="421"/>
      <c r="I42" s="423"/>
      <c r="J42" s="423"/>
      <c r="K42" s="423"/>
      <c r="L42" s="423"/>
      <c r="M42" s="423"/>
      <c r="N42" s="423"/>
      <c r="O42" s="423"/>
      <c r="P42" s="423"/>
      <c r="Q42" s="423"/>
      <c r="R42" s="423"/>
      <c r="S42" s="423"/>
      <c r="T42" s="423"/>
      <c r="U42" s="423"/>
      <c r="V42" s="423"/>
      <c r="W42" s="423"/>
      <c r="X42" s="423"/>
      <c r="Y42" s="423"/>
      <c r="Z42" s="423"/>
      <c r="AA42" s="423"/>
      <c r="AB42" s="423"/>
      <c r="AC42" s="423"/>
      <c r="AD42" s="423"/>
      <c r="AE42" s="423"/>
      <c r="AF42" s="423"/>
      <c r="AG42" s="423"/>
      <c r="AH42" s="423"/>
    </row>
    <row r="43" spans="1:34">
      <c r="A43" s="421"/>
      <c r="B43" s="421"/>
      <c r="C43" s="421"/>
      <c r="D43" s="421"/>
      <c r="E43" s="421"/>
      <c r="F43" s="421"/>
      <c r="G43" s="421"/>
      <c r="H43" s="421"/>
      <c r="I43" s="423"/>
      <c r="J43" s="423"/>
      <c r="K43" s="423"/>
      <c r="L43" s="423"/>
      <c r="M43" s="423"/>
      <c r="N43" s="423"/>
      <c r="O43" s="423"/>
      <c r="P43" s="423"/>
      <c r="Q43" s="423"/>
      <c r="R43" s="423"/>
      <c r="S43" s="423"/>
      <c r="T43" s="423"/>
      <c r="U43" s="423"/>
      <c r="V43" s="423"/>
      <c r="W43" s="423"/>
      <c r="X43" s="423"/>
      <c r="Y43" s="423"/>
      <c r="Z43" s="423"/>
      <c r="AA43" s="423"/>
      <c r="AB43" s="423"/>
      <c r="AC43" s="423"/>
      <c r="AD43" s="423"/>
      <c r="AE43" s="423"/>
      <c r="AF43" s="423"/>
      <c r="AG43" s="423"/>
      <c r="AH43" s="423"/>
    </row>
    <row r="44" spans="1:34">
      <c r="A44" s="421"/>
      <c r="B44" s="421"/>
      <c r="C44" s="421"/>
      <c r="D44" s="421"/>
      <c r="E44" s="421"/>
      <c r="F44" s="421"/>
      <c r="G44" s="421"/>
      <c r="H44" s="421"/>
      <c r="I44" s="423"/>
      <c r="J44" s="423"/>
      <c r="K44" s="423"/>
      <c r="L44" s="423"/>
      <c r="M44" s="423"/>
      <c r="N44" s="423"/>
      <c r="O44" s="423"/>
      <c r="P44" s="423"/>
      <c r="Q44" s="423"/>
      <c r="R44" s="423"/>
      <c r="S44" s="423"/>
      <c r="T44" s="423"/>
      <c r="U44" s="423"/>
      <c r="V44" s="423"/>
      <c r="W44" s="423"/>
      <c r="X44" s="423"/>
      <c r="Y44" s="423"/>
      <c r="Z44" s="423"/>
      <c r="AA44" s="423"/>
      <c r="AB44" s="423"/>
      <c r="AC44" s="423"/>
      <c r="AD44" s="423"/>
      <c r="AE44" s="423"/>
      <c r="AF44" s="423"/>
      <c r="AG44" s="423"/>
      <c r="AH44" s="423"/>
    </row>
    <row r="45" spans="1:34">
      <c r="A45" s="421"/>
      <c r="B45" s="421"/>
      <c r="C45" s="421"/>
      <c r="D45" s="421"/>
      <c r="E45" s="421"/>
      <c r="F45" s="421"/>
      <c r="G45" s="421"/>
      <c r="H45" s="421"/>
      <c r="I45" s="423"/>
      <c r="J45" s="423"/>
      <c r="K45" s="423"/>
      <c r="L45" s="423"/>
      <c r="M45" s="423"/>
      <c r="N45" s="423"/>
      <c r="O45" s="423"/>
      <c r="P45" s="423"/>
      <c r="Q45" s="423"/>
      <c r="R45" s="423"/>
      <c r="S45" s="423"/>
      <c r="T45" s="423"/>
      <c r="U45" s="423"/>
      <c r="V45" s="423"/>
      <c r="W45" s="423"/>
      <c r="X45" s="423"/>
      <c r="Y45" s="423"/>
      <c r="Z45" s="423"/>
      <c r="AA45" s="423"/>
      <c r="AB45" s="423"/>
      <c r="AC45" s="423"/>
      <c r="AD45" s="423"/>
      <c r="AE45" s="423"/>
      <c r="AF45" s="423"/>
      <c r="AG45" s="423"/>
      <c r="AH45" s="423"/>
    </row>
    <row r="46" spans="1:34">
      <c r="A46" s="421"/>
      <c r="B46" s="421"/>
      <c r="C46" s="421"/>
      <c r="D46" s="421"/>
      <c r="E46" s="421"/>
      <c r="F46" s="421"/>
      <c r="G46" s="421"/>
      <c r="H46" s="421"/>
      <c r="I46" s="423"/>
      <c r="J46" s="423"/>
      <c r="K46" s="423"/>
      <c r="L46" s="423"/>
      <c r="M46" s="423"/>
      <c r="N46" s="423"/>
      <c r="O46" s="423"/>
      <c r="P46" s="423"/>
      <c r="Q46" s="423"/>
      <c r="R46" s="423"/>
      <c r="S46" s="423"/>
      <c r="T46" s="423"/>
      <c r="U46" s="423"/>
      <c r="V46" s="423"/>
      <c r="W46" s="423"/>
      <c r="X46" s="423"/>
      <c r="Y46" s="423"/>
      <c r="Z46" s="423"/>
      <c r="AA46" s="423"/>
      <c r="AB46" s="423"/>
      <c r="AC46" s="423"/>
      <c r="AD46" s="423"/>
      <c r="AE46" s="423"/>
      <c r="AF46" s="423"/>
      <c r="AG46" s="423"/>
      <c r="AH46" s="423"/>
    </row>
    <row r="47" spans="1:34">
      <c r="A47" s="421"/>
      <c r="B47" s="421"/>
      <c r="C47" s="421"/>
      <c r="D47" s="421"/>
      <c r="E47" s="421"/>
      <c r="F47" s="421"/>
      <c r="G47" s="421"/>
      <c r="H47" s="421"/>
      <c r="I47" s="423"/>
      <c r="J47" s="423"/>
      <c r="K47" s="423"/>
      <c r="L47" s="423"/>
      <c r="M47" s="423"/>
      <c r="N47" s="423"/>
      <c r="O47" s="423"/>
      <c r="P47" s="423"/>
      <c r="Q47" s="423"/>
      <c r="R47" s="423"/>
      <c r="S47" s="423"/>
      <c r="T47" s="423"/>
      <c r="U47" s="423"/>
      <c r="V47" s="423"/>
      <c r="W47" s="423"/>
      <c r="X47" s="423"/>
      <c r="Y47" s="423"/>
      <c r="Z47" s="423"/>
      <c r="AA47" s="423"/>
      <c r="AB47" s="423"/>
      <c r="AC47" s="423"/>
      <c r="AD47" s="423"/>
      <c r="AE47" s="423"/>
      <c r="AF47" s="423"/>
      <c r="AG47" s="423"/>
      <c r="AH47" s="423"/>
    </row>
    <row r="48" spans="1:34">
      <c r="A48" s="421"/>
      <c r="B48" s="421"/>
      <c r="C48" s="421"/>
      <c r="D48" s="421"/>
      <c r="E48" s="421"/>
      <c r="F48" s="421"/>
      <c r="G48" s="421"/>
      <c r="H48" s="421"/>
      <c r="I48" s="423"/>
      <c r="J48" s="423"/>
      <c r="K48" s="423"/>
      <c r="L48" s="423"/>
      <c r="M48" s="423"/>
      <c r="N48" s="423"/>
      <c r="O48" s="423"/>
      <c r="P48" s="423"/>
      <c r="Q48" s="423"/>
      <c r="R48" s="423"/>
      <c r="S48" s="423"/>
      <c r="T48" s="423"/>
      <c r="U48" s="423"/>
      <c r="V48" s="423"/>
      <c r="W48" s="423"/>
      <c r="X48" s="423"/>
      <c r="Y48" s="423"/>
      <c r="Z48" s="423"/>
      <c r="AA48" s="423"/>
      <c r="AB48" s="423"/>
      <c r="AC48" s="423"/>
      <c r="AD48" s="423"/>
      <c r="AE48" s="423"/>
      <c r="AF48" s="423"/>
      <c r="AG48" s="423"/>
      <c r="AH48" s="423"/>
    </row>
    <row r="49" spans="1:34">
      <c r="A49" s="420"/>
      <c r="B49" s="420"/>
      <c r="C49" s="420"/>
      <c r="D49" s="420"/>
      <c r="E49" s="420"/>
      <c r="F49" s="420"/>
      <c r="G49" s="420"/>
      <c r="H49" s="420"/>
      <c r="I49" s="423"/>
      <c r="J49" s="423"/>
      <c r="K49" s="423"/>
      <c r="L49" s="423"/>
      <c r="M49" s="423"/>
      <c r="N49" s="423"/>
      <c r="O49" s="423"/>
      <c r="P49" s="423"/>
      <c r="Q49" s="423"/>
      <c r="R49" s="423"/>
      <c r="S49" s="423"/>
      <c r="T49" s="423"/>
      <c r="U49" s="423"/>
      <c r="V49" s="423"/>
      <c r="W49" s="423"/>
      <c r="X49" s="423"/>
      <c r="Y49" s="423"/>
      <c r="Z49" s="423"/>
      <c r="AA49" s="423"/>
      <c r="AB49" s="423"/>
      <c r="AC49" s="423"/>
      <c r="AD49" s="423"/>
      <c r="AE49" s="423"/>
      <c r="AF49" s="423"/>
      <c r="AG49" s="423"/>
      <c r="AH49" s="423"/>
    </row>
    <row r="50" spans="1:34">
      <c r="A50" s="420"/>
      <c r="B50" s="420"/>
      <c r="C50" s="420"/>
      <c r="D50" s="420"/>
      <c r="E50" s="420"/>
      <c r="F50" s="420"/>
      <c r="G50" s="420"/>
      <c r="H50" s="420"/>
      <c r="I50" s="423"/>
      <c r="J50" s="423"/>
      <c r="K50" s="423"/>
      <c r="L50" s="423"/>
      <c r="M50" s="423"/>
      <c r="N50" s="423"/>
      <c r="O50" s="423"/>
      <c r="P50" s="423"/>
      <c r="Q50" s="423"/>
      <c r="R50" s="423"/>
      <c r="S50" s="423"/>
      <c r="T50" s="423"/>
      <c r="U50" s="423"/>
      <c r="V50" s="423"/>
      <c r="W50" s="423"/>
      <c r="X50" s="423"/>
      <c r="Y50" s="423"/>
      <c r="Z50" s="423"/>
      <c r="AA50" s="423"/>
      <c r="AB50" s="423"/>
      <c r="AC50" s="423"/>
      <c r="AD50" s="423"/>
      <c r="AE50" s="423"/>
      <c r="AF50" s="423"/>
      <c r="AG50" s="423"/>
      <c r="AH50" s="423"/>
    </row>
    <row r="51" spans="1:34">
      <c r="A51" s="420"/>
      <c r="B51" s="420"/>
      <c r="C51" s="420"/>
      <c r="D51" s="420"/>
      <c r="E51" s="420"/>
      <c r="F51" s="420"/>
      <c r="G51" s="420"/>
      <c r="H51" s="420"/>
      <c r="I51" s="423"/>
      <c r="J51" s="423"/>
      <c r="K51" s="423"/>
      <c r="L51" s="423"/>
      <c r="M51" s="423"/>
      <c r="N51" s="423"/>
      <c r="O51" s="423"/>
      <c r="P51" s="423"/>
      <c r="Q51" s="423"/>
      <c r="R51" s="423"/>
      <c r="S51" s="423"/>
      <c r="T51" s="423"/>
      <c r="U51" s="423"/>
      <c r="V51" s="423"/>
      <c r="W51" s="423"/>
      <c r="X51" s="423"/>
      <c r="Y51" s="423"/>
      <c r="Z51" s="423"/>
      <c r="AA51" s="423"/>
      <c r="AB51" s="423"/>
      <c r="AC51" s="423"/>
      <c r="AD51" s="423"/>
      <c r="AE51" s="423"/>
      <c r="AF51" s="423"/>
      <c r="AG51" s="423"/>
      <c r="AH51" s="423"/>
    </row>
    <row r="52" spans="1:34">
      <c r="A52" s="420"/>
      <c r="B52" s="420"/>
      <c r="C52" s="420"/>
      <c r="D52" s="420"/>
      <c r="E52" s="420"/>
      <c r="F52" s="420"/>
      <c r="G52" s="420"/>
      <c r="H52" s="420"/>
      <c r="I52" s="423"/>
      <c r="J52" s="423"/>
      <c r="K52" s="423"/>
      <c r="L52" s="423"/>
      <c r="M52" s="423"/>
      <c r="N52" s="423"/>
      <c r="O52" s="423"/>
      <c r="P52" s="423"/>
      <c r="Q52" s="423"/>
      <c r="R52" s="423"/>
      <c r="S52" s="423"/>
      <c r="T52" s="423"/>
      <c r="U52" s="423"/>
      <c r="V52" s="423"/>
      <c r="W52" s="423"/>
      <c r="X52" s="423"/>
      <c r="Y52" s="423"/>
      <c r="Z52" s="423"/>
      <c r="AA52" s="423"/>
      <c r="AB52" s="423"/>
      <c r="AC52" s="423"/>
      <c r="AD52" s="423"/>
      <c r="AE52" s="423"/>
      <c r="AF52" s="423"/>
      <c r="AG52" s="423"/>
      <c r="AH52" s="423"/>
    </row>
    <row r="53" spans="1:34">
      <c r="A53" s="420"/>
      <c r="B53" s="420"/>
      <c r="C53" s="420"/>
      <c r="D53" s="420"/>
      <c r="E53" s="420"/>
      <c r="F53" s="420"/>
      <c r="G53" s="420"/>
      <c r="H53" s="420"/>
      <c r="I53" s="423"/>
      <c r="J53" s="423"/>
      <c r="K53" s="423"/>
      <c r="L53" s="423"/>
      <c r="M53" s="423"/>
      <c r="N53" s="423"/>
      <c r="O53" s="423"/>
      <c r="P53" s="423"/>
      <c r="Q53" s="423"/>
      <c r="R53" s="423"/>
      <c r="S53" s="423"/>
      <c r="T53" s="423"/>
      <c r="U53" s="423"/>
      <c r="V53" s="423"/>
      <c r="W53" s="423"/>
      <c r="X53" s="423"/>
      <c r="Y53" s="423"/>
      <c r="Z53" s="423"/>
      <c r="AA53" s="423"/>
      <c r="AB53" s="423"/>
      <c r="AC53" s="423"/>
      <c r="AD53" s="423"/>
      <c r="AE53" s="423"/>
      <c r="AF53" s="423"/>
      <c r="AG53" s="423"/>
      <c r="AH53" s="423"/>
    </row>
    <row r="54" spans="1:34">
      <c r="A54" s="420"/>
      <c r="B54" s="420"/>
      <c r="C54" s="420"/>
      <c r="D54" s="420"/>
      <c r="E54" s="420"/>
      <c r="F54" s="420"/>
      <c r="G54" s="420"/>
      <c r="H54" s="420"/>
      <c r="I54" s="423"/>
      <c r="J54" s="423"/>
      <c r="K54" s="423"/>
      <c r="L54" s="423"/>
      <c r="M54" s="423"/>
      <c r="N54" s="423"/>
      <c r="O54" s="423"/>
      <c r="P54" s="423"/>
      <c r="Q54" s="423"/>
      <c r="R54" s="423"/>
      <c r="S54" s="423"/>
      <c r="T54" s="423"/>
      <c r="U54" s="423"/>
      <c r="V54" s="423"/>
      <c r="W54" s="423"/>
      <c r="X54" s="423"/>
      <c r="Y54" s="423"/>
      <c r="Z54" s="423"/>
      <c r="AA54" s="423"/>
      <c r="AB54" s="423"/>
      <c r="AC54" s="423"/>
      <c r="AD54" s="423"/>
      <c r="AE54" s="423"/>
      <c r="AF54" s="423"/>
      <c r="AG54" s="423"/>
      <c r="AH54" s="423"/>
    </row>
    <row r="55" spans="1:34">
      <c r="A55" s="420"/>
      <c r="B55" s="420"/>
      <c r="C55" s="420"/>
      <c r="D55" s="420"/>
      <c r="E55" s="420"/>
      <c r="F55" s="420"/>
      <c r="G55" s="420"/>
      <c r="H55" s="420"/>
      <c r="I55" s="423"/>
      <c r="J55" s="423"/>
      <c r="K55" s="423"/>
      <c r="L55" s="423"/>
      <c r="M55" s="423"/>
      <c r="N55" s="423"/>
      <c r="O55" s="423"/>
      <c r="P55" s="423"/>
      <c r="Q55" s="423"/>
      <c r="R55" s="423"/>
      <c r="S55" s="423"/>
      <c r="T55" s="423"/>
      <c r="U55" s="423"/>
      <c r="V55" s="423"/>
      <c r="W55" s="423"/>
      <c r="X55" s="423"/>
      <c r="Y55" s="423"/>
      <c r="Z55" s="423"/>
      <c r="AA55" s="423"/>
      <c r="AB55" s="423"/>
      <c r="AC55" s="423"/>
      <c r="AD55" s="423"/>
      <c r="AE55" s="423"/>
      <c r="AF55" s="423"/>
      <c r="AG55" s="423"/>
      <c r="AH55" s="423"/>
    </row>
    <row r="56" spans="1:34">
      <c r="A56" s="420"/>
      <c r="B56" s="420"/>
      <c r="C56" s="420"/>
      <c r="D56" s="420"/>
      <c r="E56" s="420"/>
      <c r="F56" s="420"/>
      <c r="G56" s="420"/>
      <c r="H56" s="420"/>
      <c r="I56" s="423"/>
      <c r="J56" s="423"/>
      <c r="K56" s="423"/>
      <c r="L56" s="423"/>
      <c r="M56" s="423"/>
      <c r="N56" s="423"/>
      <c r="O56" s="423"/>
      <c r="P56" s="423"/>
      <c r="Q56" s="423"/>
      <c r="R56" s="423"/>
      <c r="S56" s="423"/>
      <c r="T56" s="423"/>
      <c r="U56" s="423"/>
      <c r="V56" s="423"/>
      <c r="W56" s="423"/>
      <c r="X56" s="423"/>
      <c r="Y56" s="423"/>
      <c r="Z56" s="423"/>
      <c r="AA56" s="423"/>
      <c r="AB56" s="423"/>
      <c r="AC56" s="423"/>
      <c r="AD56" s="423"/>
      <c r="AE56" s="423"/>
      <c r="AF56" s="423"/>
      <c r="AG56" s="423"/>
      <c r="AH56" s="423"/>
    </row>
    <row r="57" spans="1:34">
      <c r="A57" s="423"/>
      <c r="B57" s="423"/>
      <c r="C57" s="423"/>
      <c r="D57" s="423"/>
      <c r="E57" s="423"/>
      <c r="F57" s="423"/>
      <c r="G57" s="423"/>
      <c r="H57" s="423"/>
      <c r="I57" s="423"/>
      <c r="J57" s="423"/>
      <c r="K57" s="423"/>
      <c r="L57" s="423"/>
      <c r="M57" s="423"/>
      <c r="N57" s="423"/>
      <c r="O57" s="423"/>
      <c r="P57" s="423"/>
      <c r="Q57" s="423"/>
      <c r="R57" s="423"/>
      <c r="S57" s="423"/>
      <c r="T57" s="423"/>
      <c r="U57" s="423"/>
      <c r="V57" s="423"/>
      <c r="W57" s="423"/>
      <c r="X57" s="423"/>
      <c r="Y57" s="423"/>
      <c r="Z57" s="423"/>
      <c r="AA57" s="423"/>
      <c r="AB57" s="423"/>
      <c r="AC57" s="423"/>
      <c r="AD57" s="423"/>
      <c r="AE57" s="423"/>
      <c r="AF57" s="423"/>
      <c r="AG57" s="423"/>
      <c r="AH57" s="423"/>
    </row>
    <row r="58" spans="1:34">
      <c r="A58" s="423"/>
      <c r="B58" s="423"/>
      <c r="C58" s="423"/>
      <c r="D58" s="423"/>
      <c r="E58" s="423"/>
      <c r="F58" s="423"/>
      <c r="G58" s="423"/>
      <c r="H58" s="423"/>
      <c r="I58" s="423"/>
      <c r="J58" s="423"/>
      <c r="K58" s="423"/>
      <c r="L58" s="423"/>
      <c r="M58" s="423"/>
      <c r="N58" s="423"/>
      <c r="O58" s="423"/>
      <c r="P58" s="423"/>
      <c r="Q58" s="423"/>
      <c r="R58" s="423"/>
      <c r="S58" s="423"/>
      <c r="T58" s="423"/>
      <c r="U58" s="423"/>
      <c r="V58" s="423"/>
      <c r="W58" s="423"/>
      <c r="X58" s="423"/>
      <c r="Y58" s="423"/>
      <c r="Z58" s="423"/>
      <c r="AA58" s="423"/>
      <c r="AB58" s="423"/>
      <c r="AC58" s="423"/>
      <c r="AD58" s="423"/>
      <c r="AE58" s="423"/>
      <c r="AF58" s="423"/>
      <c r="AG58" s="423"/>
      <c r="AH58" s="423"/>
    </row>
    <row r="59" spans="1:34">
      <c r="A59" s="423"/>
      <c r="B59" s="423"/>
      <c r="C59" s="423"/>
      <c r="D59" s="423"/>
      <c r="E59" s="423"/>
      <c r="F59" s="423"/>
      <c r="G59" s="423"/>
      <c r="H59" s="423"/>
      <c r="I59" s="423"/>
      <c r="J59" s="423"/>
      <c r="K59" s="423"/>
      <c r="L59" s="423"/>
      <c r="M59" s="423"/>
      <c r="N59" s="423"/>
      <c r="O59" s="423"/>
      <c r="P59" s="423"/>
      <c r="Q59" s="423"/>
      <c r="R59" s="423"/>
      <c r="S59" s="423"/>
      <c r="T59" s="423"/>
      <c r="U59" s="423"/>
      <c r="V59" s="423"/>
      <c r="W59" s="423"/>
      <c r="X59" s="423"/>
      <c r="Y59" s="423"/>
      <c r="Z59" s="423"/>
      <c r="AA59" s="423"/>
      <c r="AB59" s="423"/>
      <c r="AC59" s="423"/>
      <c r="AD59" s="423"/>
      <c r="AE59" s="423"/>
      <c r="AF59" s="423"/>
      <c r="AG59" s="423"/>
      <c r="AH59" s="423"/>
    </row>
    <row r="60" spans="1:34">
      <c r="A60" s="423"/>
      <c r="B60" s="423"/>
      <c r="C60" s="423"/>
      <c r="D60" s="423"/>
      <c r="E60" s="423"/>
      <c r="F60" s="423"/>
      <c r="G60" s="423"/>
      <c r="H60" s="423"/>
      <c r="I60" s="423"/>
      <c r="J60" s="423"/>
      <c r="K60" s="423"/>
      <c r="L60" s="423"/>
      <c r="M60" s="423"/>
      <c r="N60" s="423"/>
      <c r="O60" s="423"/>
      <c r="P60" s="423"/>
      <c r="Q60" s="423"/>
      <c r="R60" s="423"/>
      <c r="S60" s="423"/>
      <c r="T60" s="423"/>
      <c r="U60" s="423"/>
      <c r="V60" s="423"/>
      <c r="W60" s="423"/>
      <c r="X60" s="423"/>
      <c r="Y60" s="423"/>
      <c r="Z60" s="423"/>
      <c r="AA60" s="423"/>
      <c r="AB60" s="423"/>
      <c r="AC60" s="423"/>
      <c r="AD60" s="423"/>
      <c r="AE60" s="423"/>
      <c r="AF60" s="423"/>
      <c r="AG60" s="423"/>
      <c r="AH60" s="423"/>
    </row>
    <row r="61" spans="1:34">
      <c r="A61" s="423"/>
      <c r="B61" s="423"/>
      <c r="C61" s="423"/>
      <c r="D61" s="423"/>
      <c r="E61" s="423"/>
      <c r="F61" s="423"/>
      <c r="G61" s="423"/>
      <c r="H61" s="423"/>
      <c r="I61" s="423"/>
      <c r="J61" s="423"/>
      <c r="K61" s="423"/>
      <c r="L61" s="423"/>
      <c r="M61" s="423"/>
      <c r="N61" s="423"/>
      <c r="O61" s="423"/>
      <c r="P61" s="423"/>
      <c r="Q61" s="423"/>
      <c r="R61" s="423"/>
      <c r="S61" s="423"/>
      <c r="T61" s="423"/>
      <c r="U61" s="423"/>
      <c r="V61" s="423"/>
      <c r="W61" s="423"/>
      <c r="X61" s="423"/>
      <c r="Y61" s="423"/>
      <c r="Z61" s="423"/>
      <c r="AA61" s="423"/>
      <c r="AB61" s="423"/>
      <c r="AC61" s="423"/>
      <c r="AD61" s="423"/>
      <c r="AE61" s="423"/>
      <c r="AF61" s="423"/>
      <c r="AG61" s="423"/>
      <c r="AH61" s="423"/>
    </row>
    <row r="62" spans="1:34">
      <c r="A62" s="423"/>
      <c r="B62" s="423"/>
      <c r="C62" s="423"/>
      <c r="D62" s="423"/>
      <c r="E62" s="423"/>
      <c r="F62" s="423"/>
      <c r="G62" s="423"/>
      <c r="H62" s="423"/>
      <c r="I62" s="423"/>
      <c r="J62" s="423"/>
      <c r="K62" s="423"/>
      <c r="L62" s="423"/>
      <c r="M62" s="423"/>
      <c r="N62" s="423"/>
      <c r="O62" s="423"/>
      <c r="P62" s="423"/>
      <c r="Q62" s="423"/>
      <c r="R62" s="423"/>
      <c r="S62" s="423"/>
      <c r="T62" s="423"/>
      <c r="U62" s="423"/>
      <c r="V62" s="423"/>
      <c r="W62" s="423"/>
      <c r="X62" s="423"/>
      <c r="Y62" s="423"/>
      <c r="Z62" s="423"/>
      <c r="AA62" s="423"/>
      <c r="AB62" s="423"/>
      <c r="AC62" s="423"/>
      <c r="AD62" s="423"/>
      <c r="AE62" s="423"/>
      <c r="AF62" s="423"/>
      <c r="AG62" s="423"/>
      <c r="AH62" s="423"/>
    </row>
    <row r="63" spans="1:34">
      <c r="A63" s="423"/>
      <c r="B63" s="423"/>
      <c r="C63" s="423"/>
      <c r="D63" s="423"/>
      <c r="E63" s="423"/>
      <c r="F63" s="423"/>
      <c r="G63" s="423"/>
      <c r="H63" s="423"/>
      <c r="I63" s="423"/>
      <c r="J63" s="423"/>
      <c r="K63" s="423"/>
      <c r="L63" s="423"/>
      <c r="M63" s="423"/>
      <c r="N63" s="423"/>
      <c r="O63" s="423"/>
      <c r="P63" s="423"/>
      <c r="Q63" s="423"/>
      <c r="R63" s="423"/>
      <c r="S63" s="423"/>
      <c r="T63" s="423"/>
      <c r="U63" s="423"/>
      <c r="V63" s="423"/>
      <c r="W63" s="423"/>
      <c r="X63" s="423"/>
      <c r="Y63" s="423"/>
      <c r="Z63" s="423"/>
      <c r="AA63" s="423"/>
      <c r="AB63" s="423"/>
      <c r="AC63" s="423"/>
      <c r="AD63" s="423"/>
      <c r="AE63" s="423"/>
      <c r="AF63" s="423"/>
      <c r="AG63" s="423"/>
      <c r="AH63" s="423"/>
    </row>
    <row r="64" spans="1:34">
      <c r="A64" s="423"/>
      <c r="B64" s="423"/>
      <c r="C64" s="423"/>
      <c r="D64" s="423"/>
      <c r="E64" s="423"/>
      <c r="F64" s="423"/>
      <c r="G64" s="423"/>
      <c r="H64" s="423"/>
      <c r="I64" s="423"/>
      <c r="J64" s="423"/>
      <c r="K64" s="423"/>
      <c r="L64" s="423"/>
      <c r="M64" s="423"/>
      <c r="N64" s="423"/>
      <c r="O64" s="423"/>
      <c r="P64" s="423"/>
      <c r="Q64" s="423"/>
      <c r="R64" s="423"/>
      <c r="S64" s="423"/>
      <c r="T64" s="423"/>
      <c r="U64" s="423"/>
      <c r="V64" s="423"/>
      <c r="W64" s="423"/>
      <c r="X64" s="423"/>
      <c r="Y64" s="423"/>
      <c r="Z64" s="423"/>
      <c r="AA64" s="423"/>
      <c r="AB64" s="423"/>
      <c r="AC64" s="423"/>
      <c r="AD64" s="423"/>
      <c r="AE64" s="423"/>
      <c r="AF64" s="423"/>
      <c r="AG64" s="423"/>
      <c r="AH64" s="423"/>
    </row>
    <row r="65" spans="1:34">
      <c r="A65" s="423"/>
      <c r="B65" s="423"/>
      <c r="C65" s="423"/>
      <c r="D65" s="423"/>
      <c r="E65" s="423"/>
      <c r="F65" s="423"/>
      <c r="G65" s="423"/>
      <c r="H65" s="423"/>
      <c r="I65" s="423"/>
      <c r="J65" s="423"/>
      <c r="K65" s="423"/>
      <c r="L65" s="423"/>
      <c r="M65" s="423"/>
      <c r="N65" s="423"/>
      <c r="O65" s="423"/>
      <c r="P65" s="423"/>
      <c r="Q65" s="423"/>
      <c r="R65" s="423"/>
      <c r="S65" s="423"/>
      <c r="T65" s="423"/>
      <c r="U65" s="423"/>
      <c r="V65" s="423"/>
      <c r="W65" s="423"/>
      <c r="X65" s="423"/>
      <c r="Y65" s="423"/>
      <c r="Z65" s="423"/>
      <c r="AA65" s="423"/>
      <c r="AB65" s="423"/>
      <c r="AC65" s="423"/>
      <c r="AD65" s="423"/>
      <c r="AE65" s="423"/>
      <c r="AF65" s="423"/>
      <c r="AG65" s="423"/>
      <c r="AH65" s="423"/>
    </row>
    <row r="66" spans="1:34">
      <c r="A66" s="423"/>
      <c r="B66" s="423"/>
      <c r="C66" s="423"/>
      <c r="D66" s="423"/>
      <c r="E66" s="423"/>
      <c r="F66" s="423"/>
      <c r="G66" s="423"/>
      <c r="H66" s="423"/>
      <c r="I66" s="423"/>
      <c r="J66" s="423"/>
      <c r="K66" s="423"/>
      <c r="L66" s="423"/>
      <c r="M66" s="423"/>
      <c r="N66" s="423"/>
      <c r="O66" s="423"/>
      <c r="P66" s="423"/>
      <c r="Q66" s="423"/>
      <c r="R66" s="423"/>
      <c r="S66" s="423"/>
      <c r="T66" s="423"/>
      <c r="U66" s="423"/>
      <c r="V66" s="423"/>
      <c r="W66" s="423"/>
      <c r="X66" s="423"/>
      <c r="Y66" s="423"/>
      <c r="Z66" s="423"/>
      <c r="AA66" s="423"/>
      <c r="AB66" s="423"/>
      <c r="AC66" s="423"/>
      <c r="AD66" s="423"/>
      <c r="AE66" s="423"/>
      <c r="AF66" s="423"/>
      <c r="AG66" s="423"/>
      <c r="AH66" s="423"/>
    </row>
    <row r="67" spans="1:34">
      <c r="A67" s="423"/>
      <c r="B67" s="423"/>
      <c r="C67" s="423"/>
      <c r="D67" s="423"/>
      <c r="E67" s="423"/>
      <c r="F67" s="423"/>
      <c r="G67" s="423"/>
      <c r="H67" s="423"/>
      <c r="I67" s="423"/>
      <c r="J67" s="423"/>
      <c r="K67" s="423"/>
      <c r="L67" s="423"/>
      <c r="M67" s="423"/>
      <c r="N67" s="423"/>
      <c r="O67" s="423"/>
      <c r="P67" s="423"/>
      <c r="Q67" s="423"/>
      <c r="R67" s="423"/>
      <c r="S67" s="423"/>
      <c r="T67" s="423"/>
      <c r="U67" s="423"/>
      <c r="V67" s="423"/>
      <c r="W67" s="423"/>
      <c r="X67" s="423"/>
      <c r="Y67" s="423"/>
      <c r="Z67" s="423"/>
      <c r="AA67" s="423"/>
      <c r="AB67" s="423"/>
      <c r="AC67" s="423"/>
      <c r="AD67" s="423"/>
      <c r="AE67" s="423"/>
      <c r="AF67" s="423"/>
      <c r="AG67" s="423"/>
      <c r="AH67" s="423"/>
    </row>
    <row r="68" spans="1:34">
      <c r="A68" s="423"/>
      <c r="B68" s="423"/>
      <c r="C68" s="423"/>
      <c r="D68" s="423"/>
      <c r="E68" s="423"/>
      <c r="F68" s="423"/>
      <c r="G68" s="423"/>
      <c r="H68" s="423"/>
      <c r="I68" s="423"/>
      <c r="J68" s="423"/>
      <c r="K68" s="423"/>
      <c r="L68" s="423"/>
      <c r="M68" s="423"/>
      <c r="N68" s="423"/>
      <c r="O68" s="423"/>
      <c r="P68" s="423"/>
      <c r="Q68" s="423"/>
      <c r="R68" s="423"/>
      <c r="S68" s="423"/>
      <c r="T68" s="423"/>
      <c r="U68" s="423"/>
      <c r="V68" s="423"/>
      <c r="W68" s="423"/>
      <c r="X68" s="423"/>
      <c r="Y68" s="423"/>
      <c r="Z68" s="423"/>
      <c r="AA68" s="423"/>
      <c r="AB68" s="423"/>
      <c r="AC68" s="423"/>
      <c r="AD68" s="423"/>
      <c r="AE68" s="423"/>
      <c r="AF68" s="423"/>
      <c r="AG68" s="423"/>
      <c r="AH68" s="423"/>
    </row>
    <row r="69" spans="1:34">
      <c r="A69" s="423"/>
      <c r="B69" s="423"/>
      <c r="C69" s="423"/>
      <c r="D69" s="423"/>
      <c r="E69" s="423"/>
      <c r="F69" s="423"/>
      <c r="G69" s="423"/>
      <c r="H69" s="423"/>
      <c r="I69" s="423"/>
      <c r="J69" s="423"/>
      <c r="K69" s="423"/>
      <c r="L69" s="423"/>
      <c r="M69" s="423"/>
      <c r="N69" s="423"/>
      <c r="O69" s="423"/>
      <c r="P69" s="423"/>
      <c r="Q69" s="423"/>
      <c r="R69" s="423"/>
      <c r="S69" s="423"/>
      <c r="T69" s="423"/>
      <c r="U69" s="423"/>
      <c r="V69" s="423"/>
      <c r="W69" s="423"/>
      <c r="X69" s="423"/>
      <c r="Y69" s="423"/>
      <c r="Z69" s="423"/>
      <c r="AA69" s="423"/>
      <c r="AB69" s="423"/>
      <c r="AC69" s="423"/>
      <c r="AD69" s="423"/>
      <c r="AE69" s="423"/>
      <c r="AF69" s="423"/>
      <c r="AG69" s="423"/>
      <c r="AH69" s="423"/>
    </row>
    <row r="70" spans="1:34">
      <c r="A70" s="423"/>
      <c r="B70" s="423"/>
      <c r="C70" s="423"/>
      <c r="D70" s="423"/>
      <c r="E70" s="423"/>
      <c r="F70" s="423"/>
      <c r="G70" s="423"/>
      <c r="H70" s="423"/>
      <c r="I70" s="423"/>
      <c r="J70" s="423"/>
      <c r="K70" s="423"/>
      <c r="L70" s="423"/>
      <c r="M70" s="423"/>
      <c r="N70" s="423"/>
      <c r="O70" s="423"/>
      <c r="P70" s="423"/>
      <c r="Q70" s="423"/>
      <c r="R70" s="423"/>
      <c r="S70" s="423"/>
      <c r="T70" s="423"/>
      <c r="U70" s="423"/>
      <c r="V70" s="423"/>
      <c r="W70" s="423"/>
      <c r="X70" s="423"/>
      <c r="Y70" s="423"/>
      <c r="Z70" s="423"/>
      <c r="AA70" s="423"/>
      <c r="AB70" s="423"/>
      <c r="AC70" s="423"/>
      <c r="AD70" s="423"/>
      <c r="AE70" s="423"/>
      <c r="AF70" s="423"/>
      <c r="AG70" s="423"/>
      <c r="AH70" s="423"/>
    </row>
    <row r="71" spans="1:34">
      <c r="A71" s="423"/>
      <c r="B71" s="423"/>
      <c r="C71" s="423"/>
      <c r="D71" s="423"/>
      <c r="E71" s="423"/>
      <c r="F71" s="423"/>
      <c r="G71" s="423"/>
      <c r="H71" s="423"/>
      <c r="I71" s="423"/>
      <c r="J71" s="423"/>
      <c r="K71" s="423"/>
      <c r="L71" s="423"/>
      <c r="M71" s="423"/>
      <c r="N71" s="423"/>
      <c r="O71" s="423"/>
      <c r="P71" s="423"/>
      <c r="Q71" s="423"/>
      <c r="R71" s="423"/>
      <c r="S71" s="423"/>
      <c r="T71" s="423"/>
      <c r="U71" s="423"/>
      <c r="V71" s="423"/>
      <c r="W71" s="423"/>
      <c r="X71" s="423"/>
      <c r="Y71" s="423"/>
      <c r="Z71" s="423"/>
      <c r="AA71" s="423"/>
      <c r="AB71" s="423"/>
      <c r="AC71" s="423"/>
      <c r="AD71" s="423"/>
      <c r="AE71" s="423"/>
      <c r="AF71" s="423"/>
      <c r="AG71" s="423"/>
      <c r="AH71" s="423"/>
    </row>
    <row r="72" spans="1:34">
      <c r="A72" s="423"/>
      <c r="B72" s="423"/>
      <c r="C72" s="423"/>
      <c r="D72" s="423"/>
      <c r="E72" s="423"/>
      <c r="F72" s="423"/>
      <c r="G72" s="423"/>
      <c r="H72" s="423"/>
      <c r="I72" s="423"/>
      <c r="J72" s="423"/>
      <c r="K72" s="423"/>
      <c r="L72" s="423"/>
      <c r="M72" s="423"/>
      <c r="N72" s="423"/>
      <c r="O72" s="423"/>
      <c r="P72" s="423"/>
      <c r="Q72" s="423"/>
      <c r="R72" s="423"/>
      <c r="S72" s="423"/>
      <c r="T72" s="423"/>
      <c r="U72" s="423"/>
      <c r="V72" s="423"/>
      <c r="W72" s="423"/>
      <c r="X72" s="423"/>
      <c r="Y72" s="423"/>
      <c r="Z72" s="423"/>
      <c r="AA72" s="423"/>
      <c r="AB72" s="423"/>
      <c r="AC72" s="423"/>
      <c r="AD72" s="423"/>
      <c r="AE72" s="423"/>
      <c r="AF72" s="423"/>
      <c r="AG72" s="423"/>
      <c r="AH72" s="423"/>
    </row>
    <row r="73" spans="1:34">
      <c r="A73" s="423"/>
      <c r="B73" s="423"/>
      <c r="C73" s="423"/>
      <c r="D73" s="423"/>
      <c r="E73" s="423"/>
      <c r="F73" s="423"/>
      <c r="G73" s="423"/>
      <c r="H73" s="423"/>
      <c r="I73" s="423"/>
      <c r="J73" s="423"/>
      <c r="K73" s="423"/>
      <c r="L73" s="423"/>
      <c r="M73" s="423"/>
      <c r="N73" s="423"/>
      <c r="O73" s="423"/>
      <c r="P73" s="423"/>
      <c r="Q73" s="423"/>
      <c r="R73" s="423"/>
      <c r="S73" s="423"/>
      <c r="T73" s="423"/>
      <c r="U73" s="423"/>
      <c r="V73" s="423"/>
      <c r="W73" s="423"/>
      <c r="X73" s="423"/>
      <c r="Y73" s="423"/>
      <c r="Z73" s="423"/>
      <c r="AA73" s="423"/>
      <c r="AB73" s="423"/>
      <c r="AC73" s="423"/>
      <c r="AD73" s="423"/>
      <c r="AE73" s="423"/>
      <c r="AF73" s="423"/>
      <c r="AG73" s="423"/>
      <c r="AH73" s="423"/>
    </row>
    <row r="74" spans="1:34">
      <c r="A74" s="423"/>
      <c r="B74" s="423"/>
      <c r="C74" s="423"/>
      <c r="D74" s="423"/>
      <c r="E74" s="423"/>
      <c r="F74" s="423"/>
      <c r="G74" s="423"/>
      <c r="H74" s="423"/>
      <c r="I74" s="423"/>
      <c r="J74" s="423"/>
      <c r="K74" s="423"/>
      <c r="L74" s="423"/>
      <c r="M74" s="423"/>
      <c r="N74" s="423"/>
      <c r="O74" s="423"/>
      <c r="P74" s="423"/>
      <c r="Q74" s="423"/>
      <c r="R74" s="423"/>
      <c r="S74" s="423"/>
      <c r="T74" s="423"/>
      <c r="U74" s="423"/>
      <c r="V74" s="423"/>
      <c r="W74" s="423"/>
      <c r="X74" s="423"/>
      <c r="Y74" s="423"/>
      <c r="Z74" s="423"/>
      <c r="AA74" s="423"/>
      <c r="AB74" s="423"/>
      <c r="AC74" s="423"/>
      <c r="AD74" s="423"/>
      <c r="AE74" s="423"/>
      <c r="AF74" s="423"/>
      <c r="AG74" s="423"/>
      <c r="AH74" s="423"/>
    </row>
    <row r="75" spans="1:34">
      <c r="A75" s="423"/>
      <c r="B75" s="423"/>
      <c r="C75" s="423"/>
      <c r="D75" s="423"/>
      <c r="E75" s="423"/>
      <c r="F75" s="423"/>
      <c r="G75" s="423"/>
      <c r="H75" s="423"/>
      <c r="I75" s="423"/>
      <c r="J75" s="423"/>
      <c r="K75" s="423"/>
      <c r="L75" s="423"/>
      <c r="M75" s="423"/>
      <c r="N75" s="423"/>
      <c r="O75" s="423"/>
      <c r="P75" s="423"/>
      <c r="Q75" s="423"/>
      <c r="R75" s="423"/>
      <c r="S75" s="423"/>
      <c r="T75" s="423"/>
      <c r="U75" s="423"/>
      <c r="V75" s="423"/>
      <c r="W75" s="423"/>
      <c r="X75" s="423"/>
      <c r="Y75" s="423"/>
      <c r="Z75" s="423"/>
      <c r="AA75" s="423"/>
      <c r="AB75" s="423"/>
      <c r="AC75" s="423"/>
      <c r="AD75" s="423"/>
      <c r="AE75" s="423"/>
      <c r="AF75" s="423"/>
      <c r="AG75" s="423"/>
      <c r="AH75" s="423"/>
    </row>
    <row r="76" spans="1:34">
      <c r="A76" s="423"/>
      <c r="B76" s="423"/>
      <c r="C76" s="423"/>
      <c r="D76" s="423"/>
      <c r="E76" s="423"/>
      <c r="F76" s="423"/>
      <c r="G76" s="423"/>
      <c r="H76" s="423"/>
      <c r="I76" s="423"/>
      <c r="J76" s="423"/>
      <c r="K76" s="423"/>
      <c r="L76" s="423"/>
      <c r="M76" s="423"/>
      <c r="N76" s="423"/>
      <c r="O76" s="423"/>
      <c r="P76" s="423"/>
      <c r="Q76" s="423"/>
      <c r="R76" s="423"/>
      <c r="S76" s="423"/>
      <c r="T76" s="423"/>
      <c r="U76" s="423"/>
      <c r="V76" s="423"/>
      <c r="W76" s="423"/>
      <c r="X76" s="423"/>
      <c r="Y76" s="423"/>
      <c r="Z76" s="423"/>
      <c r="AA76" s="423"/>
      <c r="AB76" s="423"/>
      <c r="AC76" s="423"/>
      <c r="AD76" s="423"/>
      <c r="AE76" s="423"/>
      <c r="AF76" s="423"/>
      <c r="AG76" s="423"/>
      <c r="AH76" s="423"/>
    </row>
    <row r="77" spans="1:34">
      <c r="A77" s="423"/>
      <c r="B77" s="423"/>
      <c r="C77" s="423"/>
      <c r="D77" s="423"/>
      <c r="E77" s="423"/>
      <c r="F77" s="423"/>
      <c r="G77" s="423"/>
      <c r="H77" s="423"/>
      <c r="I77" s="423"/>
      <c r="J77" s="423"/>
      <c r="K77" s="423"/>
      <c r="L77" s="423"/>
      <c r="M77" s="423"/>
      <c r="N77" s="423"/>
      <c r="O77" s="423"/>
      <c r="P77" s="423"/>
      <c r="Q77" s="423"/>
      <c r="R77" s="423"/>
      <c r="S77" s="423"/>
      <c r="T77" s="423"/>
      <c r="U77" s="423"/>
      <c r="V77" s="423"/>
      <c r="W77" s="423"/>
      <c r="X77" s="423"/>
      <c r="Y77" s="423"/>
      <c r="Z77" s="423"/>
      <c r="AA77" s="423"/>
      <c r="AB77" s="423"/>
      <c r="AC77" s="423"/>
      <c r="AD77" s="423"/>
      <c r="AE77" s="423"/>
      <c r="AF77" s="423"/>
      <c r="AG77" s="423"/>
      <c r="AH77" s="423"/>
    </row>
    <row r="78" spans="1:34">
      <c r="A78" s="423"/>
      <c r="B78" s="423"/>
      <c r="C78" s="423"/>
      <c r="D78" s="423"/>
      <c r="E78" s="423"/>
      <c r="F78" s="423"/>
      <c r="G78" s="423"/>
      <c r="H78" s="423"/>
      <c r="I78" s="423"/>
      <c r="J78" s="423"/>
      <c r="K78" s="423"/>
      <c r="L78" s="423"/>
      <c r="M78" s="423"/>
      <c r="N78" s="423"/>
      <c r="O78" s="423"/>
      <c r="P78" s="423"/>
      <c r="Q78" s="423"/>
      <c r="R78" s="423"/>
      <c r="S78" s="423"/>
      <c r="T78" s="423"/>
      <c r="U78" s="423"/>
      <c r="V78" s="423"/>
      <c r="W78" s="423"/>
      <c r="X78" s="423"/>
      <c r="Y78" s="423"/>
      <c r="Z78" s="423"/>
      <c r="AA78" s="423"/>
      <c r="AB78" s="423"/>
      <c r="AC78" s="423"/>
      <c r="AD78" s="423"/>
      <c r="AE78" s="423"/>
      <c r="AF78" s="423"/>
      <c r="AG78" s="423"/>
      <c r="AH78" s="423"/>
    </row>
    <row r="79" spans="1:34">
      <c r="A79" s="423"/>
      <c r="B79" s="423"/>
      <c r="C79" s="423"/>
      <c r="D79" s="423"/>
      <c r="E79" s="423"/>
      <c r="F79" s="423"/>
      <c r="G79" s="423"/>
      <c r="H79" s="423"/>
      <c r="I79" s="423"/>
      <c r="J79" s="423"/>
      <c r="K79" s="423"/>
      <c r="L79" s="423"/>
      <c r="M79" s="423"/>
      <c r="N79" s="423"/>
      <c r="O79" s="423"/>
      <c r="P79" s="423"/>
      <c r="Q79" s="423"/>
      <c r="R79" s="423"/>
      <c r="S79" s="423"/>
      <c r="T79" s="423"/>
      <c r="U79" s="423"/>
      <c r="V79" s="423"/>
      <c r="W79" s="423"/>
      <c r="X79" s="423"/>
      <c r="Y79" s="423"/>
      <c r="Z79" s="423"/>
      <c r="AA79" s="423"/>
      <c r="AB79" s="423"/>
      <c r="AC79" s="423"/>
      <c r="AD79" s="423"/>
      <c r="AE79" s="423"/>
      <c r="AF79" s="423"/>
      <c r="AG79" s="423"/>
      <c r="AH79" s="423"/>
    </row>
    <row r="80" spans="1:34">
      <c r="A80" s="423"/>
      <c r="B80" s="423"/>
      <c r="C80" s="423"/>
      <c r="D80" s="423"/>
      <c r="E80" s="423"/>
      <c r="F80" s="423"/>
      <c r="G80" s="423"/>
      <c r="H80" s="423"/>
      <c r="I80" s="423"/>
      <c r="J80" s="423"/>
      <c r="K80" s="423"/>
      <c r="L80" s="423"/>
      <c r="M80" s="423"/>
      <c r="N80" s="423"/>
      <c r="O80" s="423"/>
      <c r="P80" s="423"/>
      <c r="Q80" s="423"/>
      <c r="R80" s="423"/>
      <c r="S80" s="423"/>
      <c r="T80" s="423"/>
      <c r="U80" s="423"/>
      <c r="V80" s="423"/>
      <c r="W80" s="423"/>
      <c r="X80" s="423"/>
      <c r="Y80" s="423"/>
      <c r="Z80" s="423"/>
      <c r="AA80" s="423"/>
      <c r="AB80" s="423"/>
      <c r="AC80" s="423"/>
      <c r="AD80" s="423"/>
      <c r="AE80" s="423"/>
      <c r="AF80" s="423"/>
      <c r="AG80" s="423"/>
      <c r="AH80" s="423"/>
    </row>
    <row r="81" spans="1:34">
      <c r="A81" s="423"/>
      <c r="B81" s="423"/>
      <c r="C81" s="423"/>
      <c r="D81" s="423"/>
      <c r="E81" s="423"/>
      <c r="F81" s="423"/>
      <c r="G81" s="423"/>
      <c r="H81" s="423"/>
      <c r="I81" s="423"/>
      <c r="J81" s="423"/>
      <c r="K81" s="423"/>
      <c r="L81" s="423"/>
      <c r="M81" s="423"/>
      <c r="N81" s="423"/>
      <c r="O81" s="423"/>
      <c r="P81" s="423"/>
      <c r="Q81" s="423"/>
      <c r="R81" s="423"/>
      <c r="S81" s="423"/>
      <c r="T81" s="423"/>
      <c r="U81" s="423"/>
      <c r="V81" s="423"/>
      <c r="W81" s="423"/>
      <c r="X81" s="423"/>
      <c r="Y81" s="423"/>
      <c r="Z81" s="423"/>
      <c r="AA81" s="423"/>
      <c r="AB81" s="423"/>
      <c r="AC81" s="423"/>
      <c r="AD81" s="423"/>
      <c r="AE81" s="423"/>
      <c r="AF81" s="423"/>
      <c r="AG81" s="423"/>
      <c r="AH81" s="423"/>
    </row>
    <row r="82" spans="1:34">
      <c r="A82" s="423"/>
      <c r="B82" s="423"/>
      <c r="C82" s="423"/>
      <c r="D82" s="423"/>
      <c r="E82" s="423"/>
      <c r="F82" s="423"/>
      <c r="G82" s="423"/>
      <c r="H82" s="423"/>
      <c r="I82" s="423"/>
      <c r="J82" s="423"/>
      <c r="K82" s="423"/>
      <c r="L82" s="423"/>
      <c r="M82" s="423"/>
      <c r="N82" s="423"/>
      <c r="O82" s="423"/>
      <c r="P82" s="423"/>
      <c r="Q82" s="423"/>
      <c r="R82" s="423"/>
      <c r="S82" s="423"/>
      <c r="T82" s="423"/>
      <c r="U82" s="423"/>
      <c r="V82" s="423"/>
      <c r="W82" s="423"/>
      <c r="X82" s="423"/>
      <c r="Y82" s="423"/>
      <c r="Z82" s="423"/>
      <c r="AA82" s="423"/>
      <c r="AB82" s="423"/>
      <c r="AC82" s="423"/>
      <c r="AD82" s="423"/>
      <c r="AE82" s="423"/>
      <c r="AF82" s="423"/>
      <c r="AG82" s="423"/>
      <c r="AH82" s="423"/>
    </row>
    <row r="83" spans="1:34">
      <c r="A83" s="423"/>
      <c r="B83" s="423"/>
      <c r="C83" s="423"/>
      <c r="D83" s="423"/>
      <c r="E83" s="423"/>
      <c r="F83" s="423"/>
      <c r="G83" s="423"/>
      <c r="H83" s="423"/>
      <c r="I83" s="423"/>
      <c r="J83" s="423"/>
      <c r="K83" s="423"/>
      <c r="L83" s="423"/>
      <c r="M83" s="423"/>
      <c r="N83" s="423"/>
      <c r="O83" s="423"/>
      <c r="P83" s="423"/>
      <c r="Q83" s="423"/>
      <c r="R83" s="423"/>
      <c r="S83" s="423"/>
      <c r="T83" s="423"/>
      <c r="U83" s="423"/>
      <c r="V83" s="423"/>
      <c r="W83" s="423"/>
      <c r="X83" s="423"/>
      <c r="Y83" s="423"/>
      <c r="Z83" s="423"/>
      <c r="AA83" s="423"/>
      <c r="AB83" s="423"/>
      <c r="AC83" s="423"/>
      <c r="AD83" s="423"/>
      <c r="AE83" s="423"/>
      <c r="AF83" s="423"/>
      <c r="AG83" s="423"/>
      <c r="AH83" s="423"/>
    </row>
    <row r="84" spans="1:34">
      <c r="A84" s="423"/>
      <c r="B84" s="423"/>
      <c r="C84" s="423"/>
      <c r="D84" s="423"/>
      <c r="E84" s="423"/>
      <c r="F84" s="423"/>
      <c r="G84" s="423"/>
      <c r="H84" s="423"/>
      <c r="I84" s="423"/>
      <c r="J84" s="423"/>
      <c r="K84" s="423"/>
      <c r="L84" s="423"/>
      <c r="M84" s="423"/>
      <c r="N84" s="423"/>
      <c r="O84" s="423"/>
      <c r="P84" s="423"/>
      <c r="Q84" s="423"/>
      <c r="R84" s="423"/>
      <c r="S84" s="423"/>
      <c r="T84" s="423"/>
      <c r="U84" s="423"/>
      <c r="V84" s="423"/>
      <c r="W84" s="423"/>
      <c r="X84" s="423"/>
      <c r="Y84" s="423"/>
      <c r="Z84" s="423"/>
      <c r="AA84" s="423"/>
      <c r="AB84" s="423"/>
      <c r="AC84" s="423"/>
      <c r="AD84" s="423"/>
      <c r="AE84" s="423"/>
      <c r="AF84" s="423"/>
      <c r="AG84" s="423"/>
      <c r="AH84" s="423"/>
    </row>
    <row r="85" spans="1:34">
      <c r="A85" s="423"/>
      <c r="B85" s="423"/>
      <c r="C85" s="423"/>
      <c r="D85" s="423"/>
      <c r="E85" s="423"/>
      <c r="F85" s="423"/>
      <c r="G85" s="423"/>
      <c r="H85" s="423"/>
      <c r="I85" s="423"/>
      <c r="J85" s="423"/>
      <c r="K85" s="423"/>
      <c r="L85" s="423"/>
      <c r="M85" s="423"/>
      <c r="N85" s="423"/>
      <c r="O85" s="423"/>
      <c r="P85" s="423"/>
      <c r="Q85" s="423"/>
      <c r="R85" s="423"/>
      <c r="S85" s="423"/>
      <c r="T85" s="423"/>
      <c r="U85" s="423"/>
      <c r="V85" s="423"/>
      <c r="W85" s="423"/>
      <c r="X85" s="423"/>
      <c r="Y85" s="423"/>
      <c r="Z85" s="423"/>
      <c r="AA85" s="423"/>
      <c r="AB85" s="423"/>
      <c r="AC85" s="423"/>
      <c r="AD85" s="423"/>
      <c r="AE85" s="423"/>
      <c r="AF85" s="423"/>
      <c r="AG85" s="423"/>
      <c r="AH85" s="423"/>
    </row>
    <row r="86" spans="1:34">
      <c r="A86" s="423"/>
      <c r="B86" s="423"/>
      <c r="C86" s="423"/>
      <c r="D86" s="423"/>
      <c r="E86" s="423"/>
      <c r="F86" s="423"/>
      <c r="G86" s="423"/>
      <c r="H86" s="423"/>
      <c r="I86" s="423"/>
      <c r="J86" s="423"/>
      <c r="K86" s="423"/>
      <c r="L86" s="423"/>
      <c r="M86" s="423"/>
      <c r="N86" s="423"/>
      <c r="O86" s="423"/>
      <c r="P86" s="423"/>
      <c r="Q86" s="423"/>
      <c r="R86" s="423"/>
      <c r="S86" s="423"/>
      <c r="T86" s="423"/>
      <c r="U86" s="423"/>
      <c r="V86" s="423"/>
      <c r="W86" s="423"/>
      <c r="X86" s="423"/>
      <c r="Y86" s="423"/>
      <c r="Z86" s="423"/>
      <c r="AA86" s="423"/>
      <c r="AB86" s="423"/>
      <c r="AC86" s="423"/>
      <c r="AD86" s="423"/>
      <c r="AE86" s="423"/>
      <c r="AF86" s="423"/>
      <c r="AG86" s="423"/>
      <c r="AH86" s="423"/>
    </row>
    <row r="87" spans="1:34">
      <c r="A87" s="423"/>
      <c r="B87" s="423"/>
      <c r="C87" s="423"/>
      <c r="D87" s="423"/>
      <c r="E87" s="423"/>
      <c r="F87" s="423"/>
      <c r="G87" s="423"/>
      <c r="H87" s="423"/>
      <c r="I87" s="423"/>
      <c r="J87" s="423"/>
      <c r="K87" s="423"/>
      <c r="L87" s="423"/>
      <c r="M87" s="423"/>
      <c r="N87" s="423"/>
      <c r="O87" s="423"/>
      <c r="P87" s="423"/>
      <c r="Q87" s="423"/>
      <c r="R87" s="423"/>
      <c r="S87" s="423"/>
      <c r="T87" s="423"/>
      <c r="U87" s="423"/>
      <c r="V87" s="423"/>
      <c r="W87" s="423"/>
      <c r="X87" s="423"/>
      <c r="Y87" s="423"/>
      <c r="Z87" s="423"/>
      <c r="AA87" s="423"/>
      <c r="AB87" s="423"/>
      <c r="AC87" s="423"/>
      <c r="AD87" s="423"/>
      <c r="AE87" s="423"/>
      <c r="AF87" s="423"/>
      <c r="AG87" s="423"/>
      <c r="AH87" s="423"/>
    </row>
    <row r="88" spans="1:34">
      <c r="A88" s="423"/>
      <c r="B88" s="423"/>
      <c r="C88" s="423"/>
      <c r="D88" s="423"/>
      <c r="E88" s="423"/>
      <c r="F88" s="423"/>
      <c r="G88" s="423"/>
      <c r="H88" s="423"/>
      <c r="I88" s="423"/>
      <c r="J88" s="423"/>
      <c r="K88" s="423"/>
      <c r="L88" s="423"/>
      <c r="M88" s="423"/>
      <c r="N88" s="423"/>
      <c r="O88" s="423"/>
      <c r="P88" s="423"/>
      <c r="Q88" s="423"/>
      <c r="R88" s="423"/>
      <c r="S88" s="423"/>
      <c r="T88" s="423"/>
      <c r="U88" s="423"/>
      <c r="V88" s="423"/>
      <c r="W88" s="423"/>
      <c r="X88" s="423"/>
      <c r="Y88" s="423"/>
      <c r="Z88" s="423"/>
      <c r="AA88" s="423"/>
      <c r="AB88" s="423"/>
      <c r="AC88" s="423"/>
      <c r="AD88" s="423"/>
      <c r="AE88" s="423"/>
      <c r="AF88" s="423"/>
      <c r="AG88" s="423"/>
      <c r="AH88" s="423"/>
    </row>
    <row r="89" spans="1:34">
      <c r="A89" s="423"/>
      <c r="B89" s="423"/>
      <c r="C89" s="423"/>
      <c r="D89" s="423"/>
      <c r="E89" s="423"/>
      <c r="F89" s="423"/>
      <c r="G89" s="423"/>
      <c r="H89" s="423"/>
      <c r="I89" s="423"/>
      <c r="J89" s="423"/>
      <c r="K89" s="423"/>
      <c r="L89" s="423"/>
      <c r="M89" s="423"/>
      <c r="N89" s="423"/>
      <c r="O89" s="423"/>
      <c r="P89" s="423"/>
      <c r="Q89" s="423"/>
      <c r="R89" s="423"/>
      <c r="S89" s="423"/>
      <c r="T89" s="423"/>
      <c r="U89" s="423"/>
      <c r="V89" s="423"/>
      <c r="W89" s="423"/>
      <c r="X89" s="423"/>
      <c r="Y89" s="423"/>
      <c r="Z89" s="423"/>
      <c r="AA89" s="423"/>
      <c r="AB89" s="423"/>
      <c r="AC89" s="423"/>
      <c r="AD89" s="423"/>
      <c r="AE89" s="423"/>
      <c r="AF89" s="423"/>
      <c r="AG89" s="423"/>
      <c r="AH89" s="423"/>
    </row>
    <row r="90" spans="1:34">
      <c r="A90" s="423"/>
      <c r="B90" s="423"/>
      <c r="C90" s="423"/>
      <c r="D90" s="423"/>
      <c r="E90" s="423"/>
      <c r="F90" s="423"/>
      <c r="G90" s="423"/>
      <c r="H90" s="423"/>
      <c r="I90" s="423"/>
      <c r="J90" s="423"/>
      <c r="K90" s="423"/>
      <c r="L90" s="423"/>
      <c r="M90" s="423"/>
      <c r="N90" s="423"/>
      <c r="O90" s="423"/>
      <c r="P90" s="423"/>
      <c r="Q90" s="423"/>
      <c r="R90" s="423"/>
      <c r="S90" s="423"/>
      <c r="T90" s="423"/>
      <c r="U90" s="423"/>
      <c r="V90" s="423"/>
      <c r="W90" s="423"/>
      <c r="X90" s="423"/>
      <c r="Y90" s="423"/>
      <c r="Z90" s="423"/>
      <c r="AA90" s="423"/>
      <c r="AB90" s="423"/>
      <c r="AC90" s="423"/>
      <c r="AD90" s="423"/>
      <c r="AE90" s="423"/>
      <c r="AF90" s="423"/>
      <c r="AG90" s="423"/>
      <c r="AH90" s="423"/>
    </row>
    <row r="91" spans="1:34">
      <c r="A91" s="423"/>
      <c r="B91" s="423"/>
      <c r="C91" s="423"/>
      <c r="D91" s="423"/>
      <c r="E91" s="423"/>
      <c r="F91" s="423"/>
      <c r="G91" s="423"/>
      <c r="H91" s="423"/>
      <c r="I91" s="423"/>
      <c r="J91" s="423"/>
      <c r="K91" s="423"/>
      <c r="L91" s="423"/>
      <c r="M91" s="423"/>
      <c r="N91" s="423"/>
      <c r="O91" s="423"/>
      <c r="P91" s="423"/>
      <c r="Q91" s="423"/>
      <c r="R91" s="423"/>
      <c r="S91" s="423"/>
      <c r="T91" s="423"/>
      <c r="U91" s="423"/>
      <c r="V91" s="423"/>
      <c r="W91" s="423"/>
      <c r="X91" s="423"/>
      <c r="Y91" s="423"/>
      <c r="Z91" s="423"/>
      <c r="AA91" s="423"/>
      <c r="AB91" s="423"/>
      <c r="AC91" s="423"/>
      <c r="AD91" s="423"/>
      <c r="AE91" s="423"/>
      <c r="AF91" s="423"/>
      <c r="AG91" s="423"/>
      <c r="AH91" s="423"/>
    </row>
    <row r="92" spans="1:34">
      <c r="A92" s="423"/>
      <c r="B92" s="423"/>
      <c r="C92" s="423"/>
      <c r="D92" s="423"/>
      <c r="E92" s="423"/>
      <c r="F92" s="423"/>
      <c r="G92" s="423"/>
      <c r="H92" s="423"/>
      <c r="I92" s="423"/>
      <c r="J92" s="423"/>
      <c r="K92" s="423"/>
      <c r="L92" s="423"/>
      <c r="M92" s="423"/>
      <c r="N92" s="423"/>
      <c r="O92" s="423"/>
      <c r="P92" s="423"/>
      <c r="Q92" s="423"/>
      <c r="R92" s="423"/>
      <c r="S92" s="423"/>
      <c r="T92" s="423"/>
      <c r="U92" s="423"/>
      <c r="V92" s="423"/>
      <c r="W92" s="423"/>
      <c r="X92" s="423"/>
      <c r="Y92" s="423"/>
      <c r="Z92" s="423"/>
      <c r="AA92" s="423"/>
      <c r="AB92" s="423"/>
      <c r="AC92" s="423"/>
      <c r="AD92" s="423"/>
      <c r="AE92" s="423"/>
      <c r="AF92" s="423"/>
      <c r="AG92" s="423"/>
      <c r="AH92" s="423"/>
    </row>
    <row r="93" spans="1:34">
      <c r="A93" s="423"/>
      <c r="B93" s="423"/>
      <c r="C93" s="423"/>
      <c r="D93" s="423"/>
      <c r="E93" s="423"/>
      <c r="F93" s="423"/>
      <c r="G93" s="423"/>
      <c r="H93" s="423"/>
      <c r="I93" s="423"/>
      <c r="J93" s="423"/>
      <c r="K93" s="423"/>
      <c r="L93" s="423"/>
      <c r="M93" s="423"/>
      <c r="N93" s="423"/>
      <c r="O93" s="423"/>
      <c r="P93" s="423"/>
      <c r="Q93" s="423"/>
      <c r="R93" s="423"/>
      <c r="S93" s="423"/>
      <c r="T93" s="423"/>
      <c r="U93" s="423"/>
      <c r="V93" s="423"/>
      <c r="W93" s="423"/>
      <c r="X93" s="423"/>
      <c r="Y93" s="423"/>
      <c r="Z93" s="423"/>
      <c r="AA93" s="423"/>
      <c r="AB93" s="423"/>
      <c r="AC93" s="423"/>
      <c r="AD93" s="423"/>
      <c r="AE93" s="423"/>
      <c r="AF93" s="423"/>
      <c r="AG93" s="423"/>
      <c r="AH93" s="423"/>
    </row>
    <row r="94" spans="1:34">
      <c r="A94" s="423"/>
      <c r="B94" s="423"/>
      <c r="C94" s="423"/>
      <c r="D94" s="423"/>
      <c r="E94" s="423"/>
      <c r="F94" s="423"/>
      <c r="G94" s="423"/>
      <c r="H94" s="423"/>
      <c r="I94" s="423"/>
      <c r="J94" s="423"/>
      <c r="K94" s="423"/>
      <c r="L94" s="423"/>
      <c r="M94" s="423"/>
      <c r="N94" s="423"/>
      <c r="O94" s="423"/>
      <c r="P94" s="423"/>
      <c r="Q94" s="423"/>
      <c r="R94" s="423"/>
      <c r="S94" s="423"/>
      <c r="T94" s="423"/>
      <c r="U94" s="423"/>
      <c r="V94" s="423"/>
      <c r="W94" s="423"/>
      <c r="X94" s="423"/>
      <c r="Y94" s="423"/>
      <c r="Z94" s="423"/>
      <c r="AA94" s="423"/>
      <c r="AB94" s="423"/>
      <c r="AC94" s="423"/>
      <c r="AD94" s="423"/>
      <c r="AE94" s="423"/>
      <c r="AF94" s="423"/>
      <c r="AG94" s="423"/>
      <c r="AH94" s="423"/>
    </row>
    <row r="95" spans="1:34">
      <c r="A95" s="423"/>
      <c r="B95" s="423"/>
      <c r="C95" s="423"/>
      <c r="D95" s="423"/>
      <c r="E95" s="423"/>
      <c r="F95" s="423"/>
      <c r="G95" s="423"/>
      <c r="H95" s="423"/>
      <c r="I95" s="423"/>
      <c r="J95" s="423"/>
      <c r="K95" s="423"/>
      <c r="L95" s="423"/>
      <c r="M95" s="423"/>
      <c r="N95" s="423"/>
      <c r="O95" s="423"/>
      <c r="P95" s="423"/>
      <c r="Q95" s="423"/>
      <c r="R95" s="423"/>
      <c r="S95" s="423"/>
      <c r="T95" s="423"/>
      <c r="U95" s="423"/>
      <c r="V95" s="423"/>
      <c r="W95" s="423"/>
      <c r="X95" s="423"/>
      <c r="Y95" s="423"/>
      <c r="Z95" s="423"/>
      <c r="AA95" s="423"/>
      <c r="AB95" s="423"/>
      <c r="AC95" s="423"/>
      <c r="AD95" s="423"/>
      <c r="AE95" s="423"/>
      <c r="AF95" s="423"/>
      <c r="AG95" s="423"/>
      <c r="AH95" s="423"/>
    </row>
    <row r="96" spans="1:34">
      <c r="A96" s="423"/>
      <c r="B96" s="423"/>
      <c r="C96" s="423"/>
      <c r="D96" s="423"/>
      <c r="E96" s="423"/>
      <c r="F96" s="423"/>
      <c r="G96" s="423"/>
      <c r="H96" s="423"/>
      <c r="I96" s="423"/>
      <c r="J96" s="423"/>
      <c r="K96" s="423"/>
      <c r="L96" s="423"/>
      <c r="M96" s="423"/>
      <c r="N96" s="423"/>
      <c r="O96" s="423"/>
      <c r="P96" s="423"/>
      <c r="Q96" s="423"/>
      <c r="R96" s="423"/>
      <c r="S96" s="423"/>
      <c r="T96" s="423"/>
      <c r="U96" s="423"/>
      <c r="V96" s="423"/>
      <c r="W96" s="423"/>
      <c r="X96" s="423"/>
      <c r="Y96" s="423"/>
      <c r="Z96" s="423"/>
      <c r="AA96" s="423"/>
      <c r="AB96" s="423"/>
      <c r="AC96" s="423"/>
      <c r="AD96" s="423"/>
      <c r="AE96" s="423"/>
      <c r="AF96" s="423"/>
      <c r="AG96" s="423"/>
      <c r="AH96" s="423"/>
    </row>
    <row r="97" spans="1:34">
      <c r="A97" s="423"/>
      <c r="B97" s="423"/>
      <c r="C97" s="423"/>
      <c r="D97" s="423"/>
      <c r="E97" s="423"/>
      <c r="F97" s="423"/>
      <c r="G97" s="423"/>
      <c r="H97" s="423"/>
      <c r="I97" s="423"/>
      <c r="J97" s="423"/>
      <c r="K97" s="423"/>
      <c r="L97" s="423"/>
      <c r="M97" s="423"/>
      <c r="N97" s="423"/>
      <c r="O97" s="423"/>
      <c r="P97" s="423"/>
      <c r="Q97" s="423"/>
      <c r="R97" s="423"/>
      <c r="S97" s="423"/>
      <c r="T97" s="423"/>
      <c r="U97" s="423"/>
      <c r="V97" s="423"/>
      <c r="W97" s="423"/>
      <c r="X97" s="423"/>
      <c r="Y97" s="423"/>
      <c r="Z97" s="423"/>
      <c r="AA97" s="423"/>
      <c r="AB97" s="423"/>
      <c r="AC97" s="423"/>
      <c r="AD97" s="423"/>
      <c r="AE97" s="423"/>
      <c r="AF97" s="423"/>
      <c r="AG97" s="423"/>
      <c r="AH97" s="423"/>
    </row>
    <row r="98" spans="1:34">
      <c r="A98" s="423"/>
      <c r="B98" s="423"/>
      <c r="C98" s="423"/>
      <c r="D98" s="423"/>
      <c r="E98" s="423"/>
      <c r="F98" s="423"/>
      <c r="G98" s="423"/>
      <c r="H98" s="423"/>
      <c r="I98" s="423"/>
      <c r="J98" s="423"/>
      <c r="K98" s="423"/>
      <c r="L98" s="423"/>
      <c r="M98" s="423"/>
      <c r="N98" s="423"/>
      <c r="O98" s="423"/>
      <c r="P98" s="423"/>
      <c r="Q98" s="423"/>
      <c r="R98" s="423"/>
      <c r="S98" s="423"/>
      <c r="T98" s="423"/>
      <c r="U98" s="423"/>
      <c r="V98" s="423"/>
      <c r="W98" s="423"/>
      <c r="X98" s="423"/>
      <c r="Y98" s="423"/>
      <c r="Z98" s="423"/>
      <c r="AA98" s="423"/>
      <c r="AB98" s="423"/>
      <c r="AC98" s="423"/>
      <c r="AD98" s="423"/>
      <c r="AE98" s="423"/>
      <c r="AF98" s="423"/>
      <c r="AG98" s="423"/>
      <c r="AH98" s="423"/>
    </row>
    <row r="99" spans="1:34">
      <c r="A99" s="423"/>
      <c r="B99" s="423"/>
      <c r="C99" s="423"/>
      <c r="D99" s="423"/>
      <c r="E99" s="423"/>
      <c r="F99" s="423"/>
      <c r="G99" s="423"/>
      <c r="H99" s="423"/>
      <c r="I99" s="423"/>
      <c r="J99" s="423"/>
      <c r="K99" s="423"/>
      <c r="L99" s="423"/>
      <c r="M99" s="423"/>
      <c r="N99" s="423"/>
      <c r="O99" s="423"/>
      <c r="P99" s="423"/>
      <c r="Q99" s="423"/>
      <c r="R99" s="423"/>
      <c r="S99" s="423"/>
      <c r="T99" s="423"/>
      <c r="U99" s="423"/>
      <c r="V99" s="423"/>
      <c r="W99" s="423"/>
      <c r="X99" s="423"/>
      <c r="Y99" s="423"/>
      <c r="Z99" s="423"/>
      <c r="AA99" s="423"/>
      <c r="AB99" s="423"/>
      <c r="AC99" s="423"/>
      <c r="AD99" s="423"/>
      <c r="AE99" s="423"/>
      <c r="AF99" s="423"/>
      <c r="AG99" s="423"/>
      <c r="AH99" s="423"/>
    </row>
    <row r="100" spans="1:34">
      <c r="A100" s="423"/>
      <c r="B100" s="423"/>
      <c r="C100" s="423"/>
      <c r="D100" s="423"/>
      <c r="E100" s="423"/>
      <c r="F100" s="423"/>
      <c r="G100" s="423"/>
      <c r="H100" s="423"/>
      <c r="I100" s="423"/>
      <c r="J100" s="423"/>
      <c r="K100" s="423"/>
      <c r="L100" s="423"/>
      <c r="M100" s="423"/>
      <c r="N100" s="423"/>
      <c r="O100" s="423"/>
      <c r="P100" s="423"/>
      <c r="Q100" s="423"/>
      <c r="R100" s="423"/>
      <c r="S100" s="423"/>
      <c r="T100" s="423"/>
      <c r="U100" s="423"/>
      <c r="V100" s="423"/>
      <c r="W100" s="423"/>
      <c r="X100" s="423"/>
      <c r="Y100" s="423"/>
      <c r="Z100" s="423"/>
      <c r="AA100" s="423"/>
      <c r="AB100" s="423"/>
      <c r="AC100" s="423"/>
      <c r="AD100" s="423"/>
      <c r="AE100" s="423"/>
      <c r="AF100" s="423"/>
      <c r="AG100" s="423"/>
      <c r="AH100" s="423"/>
    </row>
    <row r="101" spans="1:34">
      <c r="A101" s="423"/>
      <c r="B101" s="423"/>
      <c r="C101" s="423"/>
      <c r="D101" s="423"/>
      <c r="E101" s="423"/>
      <c r="F101" s="423"/>
      <c r="G101" s="423"/>
      <c r="H101" s="423"/>
      <c r="I101" s="423"/>
      <c r="J101" s="423"/>
      <c r="K101" s="423"/>
      <c r="L101" s="423"/>
      <c r="M101" s="423"/>
      <c r="N101" s="423"/>
      <c r="O101" s="423"/>
      <c r="P101" s="423"/>
      <c r="Q101" s="423"/>
      <c r="R101" s="423"/>
      <c r="S101" s="423"/>
      <c r="T101" s="423"/>
      <c r="U101" s="423"/>
      <c r="V101" s="423"/>
      <c r="W101" s="423"/>
      <c r="X101" s="423"/>
      <c r="Y101" s="423"/>
      <c r="Z101" s="423"/>
      <c r="AA101" s="423"/>
      <c r="AB101" s="423"/>
      <c r="AC101" s="423"/>
      <c r="AD101" s="423"/>
      <c r="AE101" s="423"/>
      <c r="AF101" s="423"/>
      <c r="AG101" s="423"/>
      <c r="AH101" s="423"/>
    </row>
    <row r="102" spans="1:34">
      <c r="A102" s="423"/>
      <c r="B102" s="423"/>
      <c r="C102" s="423"/>
      <c r="D102" s="423"/>
      <c r="E102" s="423"/>
      <c r="F102" s="423"/>
      <c r="G102" s="423"/>
      <c r="H102" s="423"/>
      <c r="I102" s="423"/>
      <c r="J102" s="423"/>
      <c r="K102" s="423"/>
      <c r="L102" s="423"/>
      <c r="M102" s="423"/>
      <c r="N102" s="423"/>
      <c r="O102" s="423"/>
      <c r="P102" s="423"/>
      <c r="Q102" s="423"/>
      <c r="R102" s="423"/>
      <c r="S102" s="423"/>
      <c r="T102" s="423"/>
      <c r="U102" s="423"/>
      <c r="V102" s="423"/>
      <c r="W102" s="423"/>
      <c r="X102" s="423"/>
      <c r="Y102" s="423"/>
      <c r="Z102" s="423"/>
      <c r="AA102" s="423"/>
      <c r="AB102" s="423"/>
      <c r="AC102" s="423"/>
      <c r="AD102" s="423"/>
      <c r="AE102" s="423"/>
      <c r="AF102" s="423"/>
      <c r="AG102" s="423"/>
      <c r="AH102" s="423"/>
    </row>
    <row r="103" spans="1:34">
      <c r="A103" s="423"/>
      <c r="B103" s="423"/>
      <c r="C103" s="423"/>
      <c r="D103" s="423"/>
      <c r="E103" s="423"/>
      <c r="F103" s="423"/>
      <c r="G103" s="423"/>
      <c r="H103" s="423"/>
      <c r="I103" s="423"/>
      <c r="J103" s="423"/>
      <c r="K103" s="423"/>
      <c r="L103" s="423"/>
      <c r="M103" s="423"/>
      <c r="N103" s="423"/>
      <c r="O103" s="423"/>
      <c r="P103" s="423"/>
      <c r="Q103" s="423"/>
      <c r="R103" s="423"/>
      <c r="S103" s="423"/>
      <c r="T103" s="423"/>
      <c r="U103" s="423"/>
      <c r="V103" s="423"/>
      <c r="W103" s="423"/>
      <c r="X103" s="423"/>
      <c r="Y103" s="423"/>
      <c r="Z103" s="423"/>
      <c r="AA103" s="423"/>
      <c r="AB103" s="423"/>
      <c r="AC103" s="423"/>
      <c r="AD103" s="423"/>
      <c r="AE103" s="423"/>
      <c r="AF103" s="423"/>
      <c r="AG103" s="423"/>
      <c r="AH103" s="423"/>
    </row>
    <row r="104" spans="1:34">
      <c r="A104" s="423"/>
      <c r="B104" s="423"/>
      <c r="C104" s="423"/>
      <c r="D104" s="423"/>
      <c r="E104" s="423"/>
      <c r="F104" s="423"/>
      <c r="G104" s="423"/>
      <c r="H104" s="423"/>
      <c r="I104" s="423"/>
      <c r="J104" s="423"/>
      <c r="K104" s="423"/>
      <c r="L104" s="423"/>
      <c r="M104" s="423"/>
      <c r="N104" s="423"/>
      <c r="O104" s="423"/>
      <c r="P104" s="423"/>
      <c r="Q104" s="423"/>
      <c r="R104" s="423"/>
      <c r="S104" s="423"/>
      <c r="T104" s="423"/>
      <c r="U104" s="423"/>
      <c r="V104" s="423"/>
      <c r="W104" s="423"/>
      <c r="X104" s="423"/>
      <c r="Y104" s="423"/>
      <c r="Z104" s="423"/>
      <c r="AA104" s="423"/>
      <c r="AB104" s="423"/>
      <c r="AC104" s="423"/>
      <c r="AD104" s="423"/>
      <c r="AE104" s="423"/>
      <c r="AF104" s="423"/>
      <c r="AG104" s="423"/>
      <c r="AH104" s="423"/>
    </row>
    <row r="105" spans="1:34">
      <c r="A105" s="423"/>
      <c r="B105" s="423"/>
      <c r="C105" s="423"/>
      <c r="D105" s="423"/>
      <c r="E105" s="423"/>
      <c r="F105" s="423"/>
      <c r="G105" s="423"/>
      <c r="H105" s="423"/>
      <c r="I105" s="423"/>
      <c r="J105" s="423"/>
      <c r="K105" s="423"/>
      <c r="L105" s="423"/>
      <c r="M105" s="423"/>
      <c r="N105" s="423"/>
      <c r="O105" s="423"/>
      <c r="P105" s="423"/>
      <c r="Q105" s="423"/>
      <c r="R105" s="423"/>
      <c r="S105" s="423"/>
      <c r="T105" s="423"/>
      <c r="U105" s="423"/>
      <c r="V105" s="423"/>
      <c r="W105" s="423"/>
      <c r="X105" s="423"/>
      <c r="Y105" s="423"/>
      <c r="Z105" s="423"/>
      <c r="AA105" s="423"/>
      <c r="AB105" s="423"/>
      <c r="AC105" s="423"/>
      <c r="AD105" s="423"/>
      <c r="AE105" s="423"/>
      <c r="AF105" s="423"/>
      <c r="AG105" s="423"/>
      <c r="AH105" s="423"/>
    </row>
    <row r="106" spans="1:34">
      <c r="A106" s="423"/>
      <c r="B106" s="423"/>
      <c r="C106" s="423"/>
      <c r="D106" s="423"/>
      <c r="E106" s="423"/>
      <c r="F106" s="423"/>
      <c r="G106" s="423"/>
      <c r="H106" s="423"/>
      <c r="I106" s="423"/>
      <c r="J106" s="423"/>
      <c r="K106" s="423"/>
      <c r="L106" s="423"/>
      <c r="M106" s="423"/>
      <c r="N106" s="423"/>
      <c r="O106" s="423"/>
      <c r="P106" s="423"/>
      <c r="Q106" s="423"/>
      <c r="R106" s="423"/>
      <c r="S106" s="423"/>
      <c r="T106" s="423"/>
      <c r="U106" s="423"/>
      <c r="V106" s="423"/>
      <c r="W106" s="423"/>
      <c r="X106" s="423"/>
      <c r="Y106" s="423"/>
      <c r="Z106" s="423"/>
      <c r="AA106" s="423"/>
      <c r="AB106" s="423"/>
      <c r="AC106" s="423"/>
      <c r="AD106" s="423"/>
      <c r="AE106" s="423"/>
      <c r="AF106" s="423"/>
      <c r="AG106" s="423"/>
      <c r="AH106" s="423"/>
    </row>
    <row r="107" spans="1:34">
      <c r="A107" s="423"/>
      <c r="B107" s="423"/>
      <c r="C107" s="423"/>
      <c r="D107" s="423"/>
      <c r="E107" s="423"/>
      <c r="F107" s="423"/>
      <c r="G107" s="423"/>
      <c r="H107" s="423"/>
      <c r="I107" s="423"/>
      <c r="J107" s="423"/>
      <c r="K107" s="423"/>
      <c r="L107" s="423"/>
      <c r="M107" s="423"/>
      <c r="N107" s="423"/>
      <c r="O107" s="423"/>
      <c r="P107" s="423"/>
      <c r="Q107" s="423"/>
      <c r="R107" s="423"/>
      <c r="S107" s="423"/>
      <c r="T107" s="423"/>
      <c r="U107" s="423"/>
      <c r="V107" s="423"/>
      <c r="W107" s="423"/>
      <c r="X107" s="423"/>
      <c r="Y107" s="423"/>
      <c r="Z107" s="423"/>
      <c r="AA107" s="423"/>
      <c r="AB107" s="423"/>
      <c r="AC107" s="423"/>
      <c r="AD107" s="423"/>
      <c r="AE107" s="423"/>
      <c r="AF107" s="423"/>
      <c r="AG107" s="423"/>
      <c r="AH107" s="423"/>
    </row>
    <row r="108" spans="1:34">
      <c r="A108" s="423"/>
      <c r="B108" s="423"/>
      <c r="C108" s="423"/>
      <c r="D108" s="423"/>
      <c r="E108" s="423"/>
      <c r="F108" s="423"/>
      <c r="G108" s="423"/>
      <c r="H108" s="423"/>
      <c r="I108" s="423"/>
      <c r="J108" s="423"/>
      <c r="K108" s="423"/>
      <c r="L108" s="423"/>
      <c r="M108" s="423"/>
      <c r="N108" s="423"/>
      <c r="O108" s="423"/>
      <c r="P108" s="423"/>
      <c r="Q108" s="423"/>
      <c r="R108" s="423"/>
      <c r="S108" s="423"/>
      <c r="T108" s="423"/>
      <c r="U108" s="423"/>
      <c r="V108" s="423"/>
      <c r="W108" s="423"/>
      <c r="X108" s="423"/>
      <c r="Y108" s="423"/>
      <c r="Z108" s="423"/>
      <c r="AA108" s="423"/>
      <c r="AB108" s="423"/>
      <c r="AC108" s="423"/>
      <c r="AD108" s="423"/>
      <c r="AE108" s="423"/>
      <c r="AF108" s="423"/>
      <c r="AG108" s="423"/>
      <c r="AH108" s="423"/>
    </row>
    <row r="109" spans="1:34">
      <c r="A109" s="423"/>
      <c r="B109" s="423"/>
      <c r="C109" s="423"/>
      <c r="D109" s="423"/>
      <c r="E109" s="423"/>
      <c r="F109" s="423"/>
      <c r="G109" s="423"/>
      <c r="H109" s="423"/>
      <c r="I109" s="423"/>
      <c r="J109" s="423"/>
      <c r="K109" s="423"/>
      <c r="L109" s="423"/>
      <c r="M109" s="423"/>
      <c r="N109" s="423"/>
      <c r="O109" s="423"/>
      <c r="P109" s="423"/>
      <c r="Q109" s="423"/>
      <c r="R109" s="423"/>
      <c r="S109" s="423"/>
      <c r="T109" s="423"/>
      <c r="U109" s="423"/>
      <c r="V109" s="423"/>
      <c r="W109" s="423"/>
      <c r="X109" s="423"/>
      <c r="Y109" s="423"/>
      <c r="Z109" s="423"/>
      <c r="AA109" s="423"/>
      <c r="AB109" s="423"/>
      <c r="AC109" s="423"/>
      <c r="AD109" s="423"/>
      <c r="AE109" s="423"/>
      <c r="AF109" s="423"/>
      <c r="AG109" s="423"/>
      <c r="AH109" s="423"/>
    </row>
    <row r="110" spans="1:34">
      <c r="A110" s="423"/>
      <c r="B110" s="423"/>
      <c r="C110" s="423"/>
      <c r="D110" s="423"/>
      <c r="E110" s="423"/>
      <c r="F110" s="423"/>
      <c r="G110" s="423"/>
      <c r="H110" s="423"/>
      <c r="I110" s="423"/>
      <c r="J110" s="423"/>
      <c r="K110" s="423"/>
      <c r="L110" s="423"/>
      <c r="M110" s="423"/>
      <c r="N110" s="423"/>
      <c r="O110" s="423"/>
      <c r="P110" s="423"/>
      <c r="Q110" s="423"/>
      <c r="R110" s="423"/>
      <c r="S110" s="423"/>
      <c r="T110" s="423"/>
      <c r="U110" s="423"/>
      <c r="V110" s="423"/>
      <c r="W110" s="423"/>
      <c r="X110" s="423"/>
      <c r="Y110" s="423"/>
      <c r="Z110" s="423"/>
      <c r="AA110" s="423"/>
      <c r="AB110" s="423"/>
      <c r="AC110" s="423"/>
      <c r="AD110" s="423"/>
      <c r="AE110" s="423"/>
      <c r="AF110" s="423"/>
      <c r="AG110" s="423"/>
      <c r="AH110" s="423"/>
    </row>
    <row r="111" spans="1:34">
      <c r="A111" s="423"/>
      <c r="B111" s="423"/>
      <c r="C111" s="423"/>
      <c r="D111" s="423"/>
      <c r="E111" s="423"/>
      <c r="F111" s="423"/>
      <c r="G111" s="423"/>
      <c r="H111" s="423"/>
      <c r="I111" s="423"/>
      <c r="J111" s="423"/>
      <c r="K111" s="423"/>
      <c r="L111" s="423"/>
      <c r="M111" s="423"/>
      <c r="N111" s="423"/>
      <c r="O111" s="423"/>
      <c r="P111" s="423"/>
      <c r="Q111" s="423"/>
      <c r="R111" s="423"/>
      <c r="S111" s="423"/>
      <c r="T111" s="423"/>
      <c r="U111" s="423"/>
      <c r="V111" s="423"/>
      <c r="W111" s="423"/>
      <c r="X111" s="423"/>
      <c r="Y111" s="423"/>
      <c r="Z111" s="423"/>
      <c r="AA111" s="423"/>
      <c r="AB111" s="423"/>
      <c r="AC111" s="423"/>
      <c r="AD111" s="423"/>
      <c r="AE111" s="423"/>
      <c r="AF111" s="423"/>
      <c r="AG111" s="423"/>
      <c r="AH111" s="423"/>
    </row>
    <row r="112" spans="1:34">
      <c r="A112" s="423"/>
      <c r="B112" s="423"/>
      <c r="C112" s="423"/>
      <c r="D112" s="423"/>
      <c r="E112" s="423"/>
      <c r="F112" s="423"/>
      <c r="G112" s="423"/>
      <c r="H112" s="423"/>
      <c r="I112" s="423"/>
      <c r="J112" s="423"/>
      <c r="K112" s="423"/>
      <c r="L112" s="423"/>
      <c r="M112" s="423"/>
      <c r="N112" s="423"/>
      <c r="O112" s="423"/>
      <c r="P112" s="423"/>
      <c r="Q112" s="423"/>
      <c r="R112" s="423"/>
      <c r="S112" s="423"/>
      <c r="T112" s="423"/>
      <c r="U112" s="423"/>
      <c r="V112" s="423"/>
      <c r="W112" s="423"/>
      <c r="X112" s="423"/>
      <c r="Y112" s="423"/>
      <c r="Z112" s="423"/>
      <c r="AA112" s="423"/>
      <c r="AB112" s="423"/>
      <c r="AC112" s="423"/>
      <c r="AD112" s="423"/>
      <c r="AE112" s="423"/>
      <c r="AF112" s="423"/>
      <c r="AG112" s="423"/>
      <c r="AH112" s="423"/>
    </row>
    <row r="113" spans="1:34">
      <c r="A113" s="423"/>
      <c r="B113" s="423"/>
      <c r="C113" s="423"/>
      <c r="D113" s="423"/>
      <c r="E113" s="423"/>
      <c r="F113" s="423"/>
      <c r="G113" s="423"/>
      <c r="H113" s="423"/>
      <c r="I113" s="423"/>
      <c r="J113" s="423"/>
      <c r="K113" s="423"/>
      <c r="L113" s="423"/>
      <c r="M113" s="423"/>
      <c r="N113" s="423"/>
      <c r="O113" s="423"/>
      <c r="P113" s="423"/>
      <c r="Q113" s="423"/>
      <c r="R113" s="423"/>
      <c r="S113" s="423"/>
      <c r="T113" s="423"/>
      <c r="U113" s="423"/>
      <c r="V113" s="423"/>
      <c r="W113" s="423"/>
      <c r="X113" s="423"/>
      <c r="Y113" s="423"/>
      <c r="Z113" s="423"/>
      <c r="AA113" s="423"/>
      <c r="AB113" s="423"/>
      <c r="AC113" s="423"/>
      <c r="AD113" s="423"/>
      <c r="AE113" s="423"/>
      <c r="AF113" s="423"/>
      <c r="AG113" s="423"/>
      <c r="AH113" s="423"/>
    </row>
    <row r="114" spans="1:34">
      <c r="A114" s="423"/>
      <c r="B114" s="423"/>
      <c r="C114" s="423"/>
      <c r="D114" s="423"/>
      <c r="E114" s="423"/>
      <c r="F114" s="423"/>
      <c r="G114" s="423"/>
      <c r="H114" s="423"/>
      <c r="I114" s="423"/>
      <c r="J114" s="423"/>
      <c r="K114" s="423"/>
      <c r="L114" s="423"/>
      <c r="M114" s="423"/>
      <c r="N114" s="423"/>
      <c r="O114" s="423"/>
      <c r="P114" s="423"/>
      <c r="Q114" s="423"/>
      <c r="R114" s="423"/>
      <c r="S114" s="423"/>
      <c r="T114" s="423"/>
      <c r="U114" s="423"/>
      <c r="V114" s="423"/>
      <c r="W114" s="423"/>
      <c r="X114" s="423"/>
      <c r="Y114" s="423"/>
      <c r="Z114" s="423"/>
      <c r="AA114" s="423"/>
      <c r="AB114" s="423"/>
      <c r="AC114" s="423"/>
      <c r="AD114" s="423"/>
      <c r="AE114" s="423"/>
      <c r="AF114" s="423"/>
      <c r="AG114" s="423"/>
      <c r="AH114" s="423"/>
    </row>
    <row r="115" spans="1:34">
      <c r="A115" s="423"/>
      <c r="B115" s="423"/>
      <c r="C115" s="423"/>
      <c r="D115" s="423"/>
      <c r="E115" s="423"/>
      <c r="F115" s="423"/>
      <c r="G115" s="423"/>
      <c r="H115" s="423"/>
      <c r="I115" s="423"/>
      <c r="J115" s="423"/>
      <c r="K115" s="423"/>
      <c r="L115" s="423"/>
      <c r="M115" s="423"/>
      <c r="N115" s="423"/>
      <c r="O115" s="423"/>
      <c r="P115" s="423"/>
      <c r="Q115" s="423"/>
      <c r="R115" s="423"/>
      <c r="S115" s="423"/>
      <c r="T115" s="423"/>
      <c r="U115" s="423"/>
      <c r="V115" s="423"/>
      <c r="W115" s="423"/>
      <c r="X115" s="423"/>
      <c r="Y115" s="423"/>
      <c r="Z115" s="423"/>
      <c r="AA115" s="423"/>
      <c r="AB115" s="423"/>
      <c r="AC115" s="423"/>
      <c r="AD115" s="423"/>
      <c r="AE115" s="423"/>
      <c r="AF115" s="423"/>
      <c r="AG115" s="423"/>
      <c r="AH115" s="423"/>
    </row>
    <row r="116" spans="1:34">
      <c r="A116" s="423"/>
      <c r="B116" s="423"/>
      <c r="C116" s="423"/>
      <c r="D116" s="423"/>
      <c r="E116" s="423"/>
      <c r="F116" s="423"/>
      <c r="G116" s="423"/>
      <c r="H116" s="423"/>
      <c r="I116" s="423"/>
      <c r="J116" s="423"/>
      <c r="K116" s="423"/>
      <c r="L116" s="423"/>
      <c r="M116" s="423"/>
      <c r="N116" s="423"/>
      <c r="O116" s="423"/>
      <c r="P116" s="423"/>
      <c r="Q116" s="423"/>
      <c r="R116" s="423"/>
      <c r="S116" s="423"/>
      <c r="T116" s="423"/>
      <c r="U116" s="423"/>
      <c r="V116" s="423"/>
      <c r="W116" s="423"/>
      <c r="X116" s="423"/>
      <c r="Y116" s="423"/>
      <c r="Z116" s="423"/>
      <c r="AA116" s="423"/>
      <c r="AB116" s="423"/>
      <c r="AC116" s="423"/>
      <c r="AD116" s="423"/>
      <c r="AE116" s="423"/>
      <c r="AF116" s="423"/>
      <c r="AG116" s="423"/>
      <c r="AH116" s="423"/>
    </row>
    <row r="117" spans="1:34">
      <c r="A117" s="423"/>
      <c r="B117" s="423"/>
      <c r="C117" s="423"/>
      <c r="D117" s="423"/>
      <c r="E117" s="423"/>
      <c r="F117" s="423"/>
      <c r="G117" s="423"/>
      <c r="H117" s="423"/>
      <c r="I117" s="423"/>
      <c r="J117" s="423"/>
      <c r="K117" s="423"/>
      <c r="L117" s="423"/>
      <c r="M117" s="423"/>
      <c r="N117" s="423"/>
      <c r="O117" s="423"/>
      <c r="P117" s="423"/>
      <c r="Q117" s="423"/>
      <c r="R117" s="423"/>
      <c r="S117" s="423"/>
      <c r="T117" s="423"/>
      <c r="U117" s="423"/>
      <c r="V117" s="423"/>
      <c r="W117" s="423"/>
      <c r="X117" s="423"/>
      <c r="Y117" s="423"/>
      <c r="Z117" s="423"/>
      <c r="AA117" s="423"/>
      <c r="AB117" s="423"/>
      <c r="AC117" s="423"/>
      <c r="AD117" s="423"/>
      <c r="AE117" s="423"/>
      <c r="AF117" s="423"/>
      <c r="AG117" s="423"/>
      <c r="AH117" s="423"/>
    </row>
    <row r="118" spans="1:34">
      <c r="A118" s="423"/>
      <c r="B118" s="423"/>
      <c r="C118" s="423"/>
      <c r="D118" s="423"/>
      <c r="E118" s="423"/>
      <c r="F118" s="423"/>
      <c r="G118" s="423"/>
      <c r="H118" s="423"/>
      <c r="I118" s="423"/>
      <c r="J118" s="423"/>
      <c r="K118" s="423"/>
      <c r="L118" s="423"/>
      <c r="M118" s="423"/>
      <c r="N118" s="423"/>
      <c r="O118" s="423"/>
      <c r="P118" s="423"/>
      <c r="Q118" s="423"/>
      <c r="R118" s="423"/>
      <c r="S118" s="423"/>
      <c r="T118" s="423"/>
      <c r="U118" s="423"/>
      <c r="V118" s="423"/>
      <c r="W118" s="423"/>
      <c r="X118" s="423"/>
      <c r="Y118" s="423"/>
      <c r="Z118" s="423"/>
      <c r="AA118" s="423"/>
      <c r="AB118" s="423"/>
      <c r="AC118" s="423"/>
      <c r="AD118" s="423"/>
      <c r="AE118" s="423"/>
      <c r="AF118" s="423"/>
      <c r="AG118" s="423"/>
      <c r="AH118" s="423"/>
    </row>
    <row r="119" spans="1:34">
      <c r="A119" s="423"/>
      <c r="B119" s="423"/>
      <c r="C119" s="423"/>
      <c r="D119" s="423"/>
      <c r="E119" s="423"/>
      <c r="F119" s="423"/>
      <c r="G119" s="423"/>
      <c r="H119" s="423"/>
      <c r="I119" s="423"/>
      <c r="J119" s="423"/>
      <c r="K119" s="423"/>
      <c r="L119" s="423"/>
      <c r="M119" s="423"/>
      <c r="N119" s="423"/>
      <c r="O119" s="423"/>
      <c r="P119" s="423"/>
      <c r="Q119" s="423"/>
      <c r="R119" s="423"/>
      <c r="S119" s="423"/>
      <c r="T119" s="423"/>
      <c r="U119" s="423"/>
      <c r="V119" s="423"/>
      <c r="W119" s="423"/>
      <c r="X119" s="423"/>
      <c r="Y119" s="423"/>
      <c r="Z119" s="423"/>
      <c r="AA119" s="423"/>
      <c r="AB119" s="423"/>
      <c r="AC119" s="423"/>
      <c r="AD119" s="423"/>
      <c r="AE119" s="423"/>
      <c r="AF119" s="423"/>
      <c r="AG119" s="423"/>
      <c r="AH119" s="423"/>
    </row>
    <row r="120" spans="1:34">
      <c r="A120" s="423"/>
      <c r="B120" s="423"/>
      <c r="C120" s="423"/>
      <c r="D120" s="423"/>
      <c r="E120" s="423"/>
      <c r="F120" s="423"/>
      <c r="G120" s="423"/>
      <c r="H120" s="423"/>
      <c r="I120" s="423"/>
      <c r="J120" s="423"/>
      <c r="K120" s="423"/>
      <c r="L120" s="423"/>
      <c r="M120" s="423"/>
      <c r="N120" s="423"/>
      <c r="O120" s="423"/>
      <c r="P120" s="423"/>
      <c r="Q120" s="423"/>
      <c r="R120" s="423"/>
      <c r="S120" s="423"/>
      <c r="T120" s="423"/>
      <c r="U120" s="423"/>
      <c r="V120" s="423"/>
      <c r="W120" s="423"/>
      <c r="X120" s="423"/>
      <c r="Y120" s="423"/>
      <c r="Z120" s="423"/>
      <c r="AA120" s="423"/>
      <c r="AB120" s="423"/>
      <c r="AC120" s="423"/>
      <c r="AD120" s="423"/>
      <c r="AE120" s="423"/>
      <c r="AF120" s="423"/>
      <c r="AG120" s="423"/>
      <c r="AH120" s="423"/>
    </row>
    <row r="121" spans="1:34">
      <c r="A121" s="423"/>
      <c r="B121" s="423"/>
      <c r="C121" s="423"/>
      <c r="D121" s="423"/>
      <c r="E121" s="423"/>
      <c r="F121" s="423"/>
      <c r="G121" s="423"/>
      <c r="H121" s="423"/>
      <c r="I121" s="423"/>
      <c r="J121" s="423"/>
      <c r="K121" s="423"/>
      <c r="L121" s="423"/>
      <c r="M121" s="423"/>
      <c r="N121" s="423"/>
      <c r="O121" s="423"/>
      <c r="P121" s="423"/>
      <c r="Q121" s="423"/>
      <c r="R121" s="423"/>
      <c r="S121" s="423"/>
      <c r="T121" s="423"/>
      <c r="U121" s="423"/>
      <c r="V121" s="423"/>
      <c r="W121" s="423"/>
      <c r="X121" s="423"/>
      <c r="Y121" s="423"/>
      <c r="Z121" s="423"/>
      <c r="AA121" s="423"/>
      <c r="AB121" s="423"/>
      <c r="AC121" s="423"/>
      <c r="AD121" s="423"/>
      <c r="AE121" s="423"/>
      <c r="AF121" s="423"/>
      <c r="AG121" s="423"/>
      <c r="AH121" s="423"/>
    </row>
    <row r="122" spans="1:34">
      <c r="A122" s="423"/>
      <c r="B122" s="423"/>
      <c r="C122" s="423"/>
      <c r="D122" s="423"/>
      <c r="E122" s="423"/>
      <c r="F122" s="423"/>
      <c r="G122" s="423"/>
      <c r="H122" s="423"/>
      <c r="I122" s="423"/>
      <c r="J122" s="423"/>
      <c r="K122" s="423"/>
      <c r="L122" s="423"/>
      <c r="M122" s="423"/>
      <c r="N122" s="423"/>
      <c r="O122" s="423"/>
      <c r="P122" s="423"/>
      <c r="Q122" s="423"/>
      <c r="R122" s="423"/>
      <c r="S122" s="423"/>
      <c r="T122" s="423"/>
      <c r="U122" s="423"/>
      <c r="V122" s="423"/>
      <c r="W122" s="423"/>
      <c r="X122" s="423"/>
      <c r="Y122" s="423"/>
      <c r="Z122" s="423"/>
      <c r="AA122" s="423"/>
      <c r="AB122" s="423"/>
      <c r="AC122" s="423"/>
      <c r="AD122" s="423"/>
      <c r="AE122" s="423"/>
      <c r="AF122" s="423"/>
      <c r="AG122" s="423"/>
      <c r="AH122" s="423"/>
    </row>
    <row r="123" spans="1:34">
      <c r="A123" s="423"/>
      <c r="B123" s="423"/>
      <c r="C123" s="423"/>
      <c r="D123" s="423"/>
      <c r="E123" s="423"/>
      <c r="F123" s="423"/>
      <c r="G123" s="423"/>
      <c r="H123" s="423"/>
      <c r="I123" s="423"/>
      <c r="J123" s="423"/>
      <c r="K123" s="423"/>
      <c r="L123" s="423"/>
      <c r="M123" s="423"/>
      <c r="N123" s="423"/>
      <c r="O123" s="423"/>
      <c r="P123" s="423"/>
      <c r="Q123" s="423"/>
      <c r="R123" s="423"/>
      <c r="S123" s="423"/>
      <c r="T123" s="423"/>
      <c r="U123" s="423"/>
      <c r="V123" s="423"/>
      <c r="W123" s="423"/>
      <c r="X123" s="423"/>
      <c r="Y123" s="423"/>
      <c r="Z123" s="423"/>
      <c r="AA123" s="423"/>
      <c r="AB123" s="423"/>
      <c r="AC123" s="423"/>
      <c r="AD123" s="423"/>
      <c r="AE123" s="423"/>
      <c r="AF123" s="423"/>
      <c r="AG123" s="423"/>
      <c r="AH123" s="423"/>
    </row>
    <row r="124" spans="1:34">
      <c r="A124" s="423"/>
      <c r="B124" s="423"/>
      <c r="C124" s="423"/>
      <c r="D124" s="423"/>
      <c r="E124" s="423"/>
      <c r="F124" s="423"/>
      <c r="G124" s="423"/>
      <c r="H124" s="423"/>
      <c r="I124" s="423"/>
      <c r="J124" s="423"/>
      <c r="K124" s="423"/>
      <c r="L124" s="423"/>
      <c r="M124" s="423"/>
      <c r="N124" s="423"/>
      <c r="O124" s="423"/>
      <c r="P124" s="423"/>
      <c r="Q124" s="423"/>
      <c r="R124" s="423"/>
      <c r="S124" s="423"/>
      <c r="T124" s="423"/>
      <c r="U124" s="423"/>
      <c r="V124" s="423"/>
      <c r="W124" s="423"/>
      <c r="X124" s="423"/>
      <c r="Y124" s="423"/>
      <c r="Z124" s="423"/>
      <c r="AA124" s="423"/>
      <c r="AB124" s="423"/>
      <c r="AC124" s="423"/>
      <c r="AD124" s="423"/>
      <c r="AE124" s="423"/>
      <c r="AF124" s="423"/>
      <c r="AG124" s="423"/>
      <c r="AH124" s="423"/>
    </row>
    <row r="125" spans="1:34">
      <c r="A125" s="423"/>
      <c r="B125" s="423"/>
      <c r="C125" s="423"/>
      <c r="D125" s="423"/>
      <c r="E125" s="423"/>
      <c r="F125" s="423"/>
      <c r="G125" s="423"/>
      <c r="H125" s="423"/>
      <c r="I125" s="423"/>
      <c r="J125" s="423"/>
      <c r="K125" s="423"/>
      <c r="L125" s="423"/>
      <c r="M125" s="423"/>
      <c r="N125" s="423"/>
      <c r="O125" s="423"/>
      <c r="P125" s="423"/>
      <c r="Q125" s="423"/>
      <c r="R125" s="423"/>
      <c r="S125" s="423"/>
      <c r="T125" s="423"/>
      <c r="U125" s="423"/>
      <c r="V125" s="423"/>
      <c r="W125" s="423"/>
      <c r="X125" s="423"/>
      <c r="Y125" s="423"/>
      <c r="Z125" s="423"/>
      <c r="AA125" s="423"/>
      <c r="AB125" s="423"/>
      <c r="AC125" s="423"/>
      <c r="AD125" s="423"/>
      <c r="AE125" s="423"/>
      <c r="AF125" s="423"/>
      <c r="AG125" s="423"/>
      <c r="AH125" s="423"/>
    </row>
    <row r="126" spans="1:34">
      <c r="A126" s="423"/>
      <c r="B126" s="423"/>
      <c r="C126" s="423"/>
      <c r="D126" s="423"/>
      <c r="E126" s="423"/>
      <c r="F126" s="423"/>
      <c r="G126" s="423"/>
      <c r="H126" s="423"/>
      <c r="I126" s="423"/>
      <c r="J126" s="423"/>
      <c r="K126" s="423"/>
      <c r="L126" s="423"/>
      <c r="M126" s="423"/>
      <c r="N126" s="423"/>
      <c r="O126" s="423"/>
      <c r="P126" s="423"/>
      <c r="Q126" s="423"/>
      <c r="R126" s="423"/>
      <c r="S126" s="423"/>
      <c r="T126" s="423"/>
      <c r="U126" s="423"/>
      <c r="V126" s="423"/>
      <c r="W126" s="423"/>
      <c r="X126" s="423"/>
      <c r="Y126" s="423"/>
      <c r="Z126" s="423"/>
      <c r="AA126" s="423"/>
      <c r="AB126" s="423"/>
      <c r="AC126" s="423"/>
      <c r="AD126" s="423"/>
      <c r="AE126" s="423"/>
      <c r="AF126" s="423"/>
      <c r="AG126" s="423"/>
      <c r="AH126" s="423"/>
    </row>
    <row r="127" spans="1:34">
      <c r="A127" s="423"/>
      <c r="B127" s="423"/>
      <c r="C127" s="423"/>
      <c r="D127" s="423"/>
      <c r="E127" s="423"/>
      <c r="F127" s="423"/>
      <c r="G127" s="423"/>
      <c r="H127" s="423"/>
      <c r="I127" s="423"/>
      <c r="J127" s="423"/>
      <c r="K127" s="423"/>
      <c r="L127" s="423"/>
      <c r="M127" s="423"/>
      <c r="N127" s="423"/>
      <c r="O127" s="423"/>
      <c r="P127" s="423"/>
      <c r="Q127" s="423"/>
      <c r="R127" s="423"/>
      <c r="S127" s="423"/>
      <c r="T127" s="423"/>
      <c r="U127" s="423"/>
      <c r="V127" s="423"/>
      <c r="W127" s="423"/>
      <c r="X127" s="423"/>
      <c r="Y127" s="423"/>
      <c r="Z127" s="423"/>
      <c r="AA127" s="423"/>
      <c r="AB127" s="423"/>
      <c r="AC127" s="423"/>
      <c r="AD127" s="423"/>
      <c r="AE127" s="423"/>
      <c r="AF127" s="423"/>
      <c r="AG127" s="423"/>
      <c r="AH127" s="423"/>
    </row>
    <row r="128" spans="1:34">
      <c r="A128" s="423"/>
      <c r="B128" s="423"/>
      <c r="C128" s="423"/>
      <c r="D128" s="423"/>
      <c r="E128" s="423"/>
      <c r="F128" s="423"/>
      <c r="G128" s="423"/>
      <c r="H128" s="423"/>
      <c r="I128" s="423"/>
      <c r="J128" s="423"/>
      <c r="K128" s="423"/>
      <c r="L128" s="423"/>
      <c r="M128" s="423"/>
      <c r="N128" s="423"/>
      <c r="O128" s="423"/>
      <c r="P128" s="423"/>
      <c r="Q128" s="423"/>
      <c r="R128" s="423"/>
      <c r="S128" s="423"/>
      <c r="T128" s="423"/>
      <c r="U128" s="423"/>
      <c r="V128" s="423"/>
      <c r="W128" s="423"/>
      <c r="X128" s="423"/>
      <c r="Y128" s="423"/>
      <c r="Z128" s="423"/>
      <c r="AA128" s="423"/>
      <c r="AB128" s="423"/>
      <c r="AC128" s="423"/>
      <c r="AD128" s="423"/>
      <c r="AE128" s="423"/>
      <c r="AF128" s="423"/>
      <c r="AG128" s="423"/>
      <c r="AH128" s="423"/>
    </row>
    <row r="129" spans="1:34">
      <c r="A129" s="423"/>
      <c r="B129" s="423"/>
      <c r="C129" s="423"/>
      <c r="D129" s="423"/>
      <c r="E129" s="423"/>
      <c r="F129" s="423"/>
      <c r="G129" s="423"/>
      <c r="H129" s="423"/>
      <c r="I129" s="423"/>
      <c r="J129" s="423"/>
      <c r="K129" s="423"/>
      <c r="L129" s="423"/>
      <c r="M129" s="423"/>
      <c r="N129" s="423"/>
      <c r="O129" s="423"/>
      <c r="P129" s="423"/>
      <c r="Q129" s="423"/>
      <c r="R129" s="423"/>
      <c r="S129" s="423"/>
      <c r="T129" s="423"/>
      <c r="U129" s="423"/>
      <c r="V129" s="423"/>
      <c r="W129" s="423"/>
      <c r="X129" s="423"/>
      <c r="Y129" s="423"/>
      <c r="Z129" s="423"/>
      <c r="AA129" s="423"/>
      <c r="AB129" s="423"/>
      <c r="AC129" s="423"/>
      <c r="AD129" s="423"/>
      <c r="AE129" s="423"/>
      <c r="AF129" s="423"/>
      <c r="AG129" s="423"/>
      <c r="AH129" s="423"/>
    </row>
    <row r="130" spans="1:34">
      <c r="A130" s="423"/>
      <c r="B130" s="423"/>
      <c r="C130" s="423"/>
      <c r="D130" s="423"/>
      <c r="E130" s="423"/>
      <c r="F130" s="423"/>
      <c r="G130" s="423"/>
      <c r="H130" s="423"/>
      <c r="I130" s="423"/>
      <c r="J130" s="423"/>
      <c r="K130" s="423"/>
      <c r="L130" s="423"/>
      <c r="M130" s="423"/>
      <c r="N130" s="423"/>
      <c r="O130" s="423"/>
      <c r="P130" s="423"/>
      <c r="Q130" s="423"/>
      <c r="R130" s="423"/>
      <c r="S130" s="423"/>
      <c r="T130" s="423"/>
      <c r="U130" s="423"/>
      <c r="V130" s="423"/>
      <c r="W130" s="423"/>
      <c r="X130" s="423"/>
      <c r="Y130" s="423"/>
      <c r="Z130" s="423"/>
      <c r="AA130" s="423"/>
      <c r="AB130" s="423"/>
      <c r="AC130" s="423"/>
      <c r="AD130" s="423"/>
      <c r="AE130" s="423"/>
      <c r="AF130" s="423"/>
      <c r="AG130" s="423"/>
      <c r="AH130" s="423"/>
    </row>
    <row r="131" spans="1:34">
      <c r="A131" s="423"/>
      <c r="B131" s="423"/>
      <c r="C131" s="423"/>
      <c r="D131" s="423"/>
      <c r="E131" s="423"/>
      <c r="F131" s="423"/>
      <c r="G131" s="423"/>
      <c r="H131" s="423"/>
      <c r="I131" s="423"/>
      <c r="J131" s="423"/>
      <c r="K131" s="423"/>
      <c r="L131" s="423"/>
      <c r="M131" s="423"/>
      <c r="N131" s="423"/>
      <c r="O131" s="423"/>
      <c r="P131" s="423"/>
      <c r="Q131" s="423"/>
      <c r="R131" s="423"/>
      <c r="S131" s="423"/>
      <c r="T131" s="423"/>
      <c r="U131" s="423"/>
      <c r="V131" s="423"/>
      <c r="W131" s="423"/>
      <c r="X131" s="423"/>
      <c r="Y131" s="423"/>
      <c r="Z131" s="423"/>
      <c r="AA131" s="423"/>
      <c r="AB131" s="423"/>
      <c r="AC131" s="423"/>
      <c r="AD131" s="423"/>
      <c r="AE131" s="423"/>
      <c r="AF131" s="423"/>
      <c r="AG131" s="423"/>
      <c r="AH131" s="423"/>
    </row>
    <row r="132" spans="1:34">
      <c r="A132" s="423"/>
      <c r="B132" s="423"/>
      <c r="C132" s="423"/>
      <c r="D132" s="423"/>
      <c r="E132" s="423"/>
      <c r="F132" s="423"/>
      <c r="G132" s="423"/>
      <c r="H132" s="423"/>
      <c r="I132" s="423"/>
      <c r="J132" s="423"/>
      <c r="K132" s="423"/>
      <c r="L132" s="423"/>
      <c r="M132" s="423"/>
      <c r="N132" s="423"/>
      <c r="O132" s="423"/>
      <c r="P132" s="423"/>
      <c r="Q132" s="423"/>
      <c r="R132" s="423"/>
      <c r="S132" s="423"/>
      <c r="T132" s="423"/>
      <c r="U132" s="423"/>
      <c r="V132" s="423"/>
      <c r="W132" s="423"/>
      <c r="X132" s="423"/>
      <c r="Y132" s="423"/>
      <c r="Z132" s="423"/>
      <c r="AA132" s="423"/>
      <c r="AB132" s="423"/>
      <c r="AC132" s="423"/>
      <c r="AD132" s="423"/>
      <c r="AE132" s="423"/>
      <c r="AF132" s="423"/>
      <c r="AG132" s="423"/>
      <c r="AH132" s="423"/>
    </row>
    <row r="133" spans="1:34">
      <c r="A133" s="423"/>
      <c r="B133" s="423"/>
      <c r="C133" s="423"/>
      <c r="D133" s="423"/>
      <c r="E133" s="423"/>
      <c r="F133" s="423"/>
      <c r="G133" s="423"/>
      <c r="H133" s="423"/>
      <c r="I133" s="423"/>
      <c r="J133" s="423"/>
      <c r="K133" s="423"/>
      <c r="L133" s="423"/>
      <c r="M133" s="423"/>
      <c r="N133" s="423"/>
      <c r="O133" s="423"/>
      <c r="P133" s="423"/>
      <c r="Q133" s="423"/>
      <c r="R133" s="423"/>
      <c r="S133" s="423"/>
      <c r="T133" s="423"/>
      <c r="U133" s="423"/>
      <c r="V133" s="423"/>
      <c r="W133" s="423"/>
      <c r="X133" s="423"/>
      <c r="Y133" s="423"/>
      <c r="Z133" s="423"/>
      <c r="AA133" s="423"/>
      <c r="AB133" s="423"/>
      <c r="AC133" s="423"/>
      <c r="AD133" s="423"/>
      <c r="AE133" s="423"/>
      <c r="AF133" s="423"/>
      <c r="AG133" s="423"/>
      <c r="AH133" s="423"/>
    </row>
    <row r="134" spans="1:34">
      <c r="A134" s="423"/>
      <c r="B134" s="423"/>
      <c r="C134" s="423"/>
      <c r="D134" s="423"/>
      <c r="E134" s="423"/>
      <c r="F134" s="423"/>
      <c r="G134" s="423"/>
      <c r="H134" s="423"/>
      <c r="I134" s="423"/>
      <c r="J134" s="423"/>
      <c r="K134" s="423"/>
      <c r="L134" s="423"/>
      <c r="M134" s="423"/>
      <c r="N134" s="423"/>
      <c r="O134" s="423"/>
      <c r="P134" s="423"/>
      <c r="Q134" s="423"/>
      <c r="R134" s="423"/>
      <c r="S134" s="423"/>
      <c r="T134" s="423"/>
      <c r="U134" s="423"/>
      <c r="V134" s="423"/>
      <c r="W134" s="423"/>
      <c r="X134" s="423"/>
      <c r="Y134" s="423"/>
      <c r="Z134" s="423"/>
      <c r="AA134" s="423"/>
      <c r="AB134" s="423"/>
      <c r="AC134" s="423"/>
      <c r="AD134" s="423"/>
      <c r="AE134" s="423"/>
      <c r="AF134" s="423"/>
      <c r="AG134" s="423"/>
      <c r="AH134" s="423"/>
    </row>
    <row r="135" spans="1:34">
      <c r="A135" s="423"/>
      <c r="B135" s="423"/>
      <c r="C135" s="423"/>
      <c r="D135" s="423"/>
      <c r="E135" s="423"/>
      <c r="F135" s="423"/>
      <c r="G135" s="423"/>
      <c r="H135" s="423"/>
      <c r="I135" s="423"/>
      <c r="J135" s="423"/>
      <c r="K135" s="423"/>
      <c r="L135" s="423"/>
      <c r="M135" s="423"/>
      <c r="N135" s="423"/>
      <c r="O135" s="423"/>
      <c r="P135" s="423"/>
      <c r="Q135" s="423"/>
      <c r="R135" s="423"/>
      <c r="S135" s="423"/>
      <c r="T135" s="423"/>
      <c r="U135" s="423"/>
      <c r="V135" s="423"/>
      <c r="W135" s="423"/>
      <c r="X135" s="423"/>
      <c r="Y135" s="423"/>
      <c r="Z135" s="423"/>
      <c r="AA135" s="423"/>
      <c r="AB135" s="423"/>
      <c r="AC135" s="423"/>
      <c r="AD135" s="423"/>
      <c r="AE135" s="423"/>
      <c r="AF135" s="423"/>
      <c r="AG135" s="423"/>
      <c r="AH135" s="423"/>
    </row>
    <row r="136" spans="1:34">
      <c r="A136" s="423"/>
      <c r="B136" s="423"/>
      <c r="C136" s="423"/>
      <c r="D136" s="423"/>
      <c r="E136" s="423"/>
      <c r="F136" s="423"/>
      <c r="G136" s="423"/>
      <c r="H136" s="423"/>
      <c r="I136" s="423"/>
      <c r="J136" s="423"/>
      <c r="K136" s="423"/>
      <c r="L136" s="423"/>
      <c r="M136" s="423"/>
      <c r="N136" s="423"/>
      <c r="O136" s="423"/>
      <c r="P136" s="423"/>
      <c r="Q136" s="423"/>
      <c r="R136" s="423"/>
      <c r="S136" s="423"/>
      <c r="T136" s="423"/>
      <c r="U136" s="423"/>
      <c r="V136" s="423"/>
      <c r="W136" s="423"/>
      <c r="X136" s="423"/>
      <c r="Y136" s="423"/>
      <c r="Z136" s="423"/>
      <c r="AA136" s="423"/>
      <c r="AB136" s="423"/>
      <c r="AC136" s="423"/>
      <c r="AD136" s="423"/>
      <c r="AE136" s="423"/>
      <c r="AF136" s="423"/>
      <c r="AG136" s="423"/>
      <c r="AH136" s="423"/>
    </row>
    <row r="137" spans="1:34">
      <c r="A137" s="423"/>
      <c r="B137" s="423"/>
      <c r="C137" s="423"/>
      <c r="D137" s="423"/>
      <c r="E137" s="423"/>
      <c r="F137" s="423"/>
      <c r="G137" s="423"/>
      <c r="H137" s="423"/>
      <c r="I137" s="423"/>
      <c r="J137" s="423"/>
      <c r="K137" s="423"/>
      <c r="L137" s="423"/>
      <c r="M137" s="423"/>
      <c r="N137" s="423"/>
      <c r="O137" s="423"/>
      <c r="P137" s="423"/>
      <c r="Q137" s="423"/>
      <c r="R137" s="423"/>
      <c r="S137" s="423"/>
      <c r="T137" s="423"/>
      <c r="U137" s="423"/>
      <c r="V137" s="423"/>
      <c r="W137" s="423"/>
      <c r="X137" s="423"/>
      <c r="Y137" s="423"/>
      <c r="Z137" s="423"/>
      <c r="AA137" s="423"/>
      <c r="AB137" s="423"/>
      <c r="AC137" s="423"/>
      <c r="AD137" s="423"/>
      <c r="AE137" s="423"/>
      <c r="AF137" s="423"/>
      <c r="AG137" s="423"/>
      <c r="AH137" s="423"/>
    </row>
    <row r="138" spans="1:34">
      <c r="A138" s="423"/>
      <c r="B138" s="423"/>
      <c r="C138" s="423"/>
      <c r="D138" s="423"/>
      <c r="E138" s="423"/>
      <c r="F138" s="423"/>
      <c r="G138" s="423"/>
      <c r="H138" s="423"/>
      <c r="I138" s="423"/>
      <c r="J138" s="423"/>
      <c r="K138" s="423"/>
      <c r="L138" s="423"/>
      <c r="M138" s="423"/>
      <c r="N138" s="423"/>
      <c r="O138" s="423"/>
      <c r="P138" s="423"/>
      <c r="Q138" s="423"/>
      <c r="R138" s="423"/>
      <c r="S138" s="423"/>
      <c r="T138" s="423"/>
      <c r="U138" s="423"/>
      <c r="V138" s="423"/>
      <c r="W138" s="423"/>
      <c r="X138" s="423"/>
      <c r="Y138" s="423"/>
      <c r="Z138" s="423"/>
      <c r="AA138" s="423"/>
      <c r="AB138" s="423"/>
      <c r="AC138" s="423"/>
      <c r="AD138" s="423"/>
      <c r="AE138" s="423"/>
      <c r="AF138" s="423"/>
      <c r="AG138" s="423"/>
      <c r="AH138" s="423"/>
    </row>
    <row r="139" spans="1:34">
      <c r="A139" s="423"/>
      <c r="B139" s="423"/>
      <c r="C139" s="423"/>
      <c r="D139" s="423"/>
      <c r="E139" s="423"/>
      <c r="F139" s="423"/>
      <c r="G139" s="423"/>
      <c r="H139" s="423"/>
      <c r="I139" s="423"/>
      <c r="J139" s="423"/>
      <c r="K139" s="423"/>
      <c r="L139" s="423"/>
      <c r="M139" s="423"/>
      <c r="N139" s="423"/>
      <c r="O139" s="423"/>
      <c r="P139" s="423"/>
      <c r="Q139" s="423"/>
      <c r="R139" s="423"/>
      <c r="S139" s="423"/>
      <c r="T139" s="423"/>
      <c r="U139" s="423"/>
      <c r="V139" s="423"/>
      <c r="W139" s="423"/>
      <c r="X139" s="423"/>
      <c r="Y139" s="423"/>
      <c r="Z139" s="423"/>
      <c r="AA139" s="423"/>
      <c r="AB139" s="423"/>
      <c r="AC139" s="423"/>
      <c r="AD139" s="423"/>
      <c r="AE139" s="423"/>
      <c r="AF139" s="423"/>
      <c r="AG139" s="423"/>
      <c r="AH139" s="423"/>
    </row>
    <row r="140" spans="1:34">
      <c r="A140" s="423"/>
      <c r="B140" s="423"/>
      <c r="C140" s="423"/>
      <c r="D140" s="423"/>
      <c r="E140" s="423"/>
      <c r="F140" s="423"/>
      <c r="G140" s="423"/>
      <c r="H140" s="423"/>
      <c r="I140" s="423"/>
      <c r="J140" s="423"/>
      <c r="K140" s="423"/>
      <c r="L140" s="423"/>
      <c r="M140" s="423"/>
      <c r="N140" s="423"/>
      <c r="O140" s="423"/>
      <c r="P140" s="423"/>
      <c r="Q140" s="423"/>
      <c r="R140" s="423"/>
      <c r="S140" s="423"/>
      <c r="T140" s="423"/>
      <c r="U140" s="423"/>
      <c r="V140" s="423"/>
      <c r="W140" s="423"/>
      <c r="X140" s="423"/>
      <c r="Y140" s="423"/>
      <c r="Z140" s="423"/>
      <c r="AA140" s="423"/>
      <c r="AB140" s="423"/>
      <c r="AC140" s="423"/>
      <c r="AD140" s="423"/>
      <c r="AE140" s="423"/>
      <c r="AF140" s="423"/>
      <c r="AG140" s="423"/>
      <c r="AH140" s="423"/>
    </row>
    <row r="141" spans="1:34">
      <c r="A141" s="423"/>
      <c r="B141" s="423"/>
      <c r="C141" s="423"/>
      <c r="D141" s="423"/>
      <c r="E141" s="423"/>
      <c r="F141" s="423"/>
      <c r="G141" s="423"/>
      <c r="H141" s="423"/>
      <c r="I141" s="423"/>
      <c r="J141" s="423"/>
      <c r="K141" s="423"/>
      <c r="L141" s="423"/>
      <c r="M141" s="423"/>
      <c r="N141" s="423"/>
      <c r="O141" s="423"/>
      <c r="P141" s="423"/>
      <c r="Q141" s="423"/>
      <c r="R141" s="423"/>
      <c r="S141" s="423"/>
      <c r="T141" s="423"/>
      <c r="U141" s="423"/>
      <c r="V141" s="423"/>
      <c r="W141" s="423"/>
      <c r="X141" s="423"/>
      <c r="Y141" s="423"/>
      <c r="Z141" s="423"/>
      <c r="AA141" s="423"/>
      <c r="AB141" s="423"/>
      <c r="AC141" s="423"/>
      <c r="AD141" s="423"/>
      <c r="AE141" s="423"/>
      <c r="AF141" s="423"/>
      <c r="AG141" s="423"/>
      <c r="AH141" s="423"/>
    </row>
    <row r="142" spans="1:34">
      <c r="A142" s="423"/>
      <c r="B142" s="423"/>
      <c r="C142" s="423"/>
      <c r="D142" s="423"/>
      <c r="E142" s="423"/>
      <c r="F142" s="423"/>
      <c r="G142" s="423"/>
      <c r="H142" s="423"/>
      <c r="I142" s="423"/>
      <c r="J142" s="423"/>
      <c r="K142" s="423"/>
      <c r="L142" s="423"/>
      <c r="M142" s="423"/>
      <c r="N142" s="423"/>
      <c r="O142" s="423"/>
      <c r="P142" s="423"/>
      <c r="Q142" s="423"/>
      <c r="R142" s="423"/>
      <c r="S142" s="423"/>
      <c r="T142" s="423"/>
      <c r="U142" s="423"/>
      <c r="V142" s="423"/>
      <c r="W142" s="423"/>
      <c r="X142" s="423"/>
      <c r="Y142" s="423"/>
      <c r="Z142" s="423"/>
      <c r="AA142" s="423"/>
      <c r="AB142" s="423"/>
      <c r="AC142" s="423"/>
      <c r="AD142" s="423"/>
      <c r="AE142" s="423"/>
      <c r="AF142" s="423"/>
      <c r="AG142" s="423"/>
      <c r="AH142" s="423"/>
    </row>
    <row r="143" spans="1:34">
      <c r="A143" s="423"/>
      <c r="B143" s="423"/>
      <c r="C143" s="423"/>
      <c r="D143" s="423"/>
      <c r="E143" s="423"/>
      <c r="F143" s="423"/>
      <c r="G143" s="423"/>
      <c r="H143" s="423"/>
      <c r="I143" s="423"/>
      <c r="J143" s="423"/>
      <c r="K143" s="423"/>
      <c r="L143" s="423"/>
      <c r="M143" s="423"/>
      <c r="N143" s="423"/>
      <c r="O143" s="423"/>
      <c r="P143" s="423"/>
      <c r="Q143" s="423"/>
      <c r="R143" s="423"/>
      <c r="S143" s="423"/>
      <c r="T143" s="423"/>
      <c r="U143" s="423"/>
      <c r="V143" s="423"/>
      <c r="W143" s="423"/>
      <c r="X143" s="423"/>
      <c r="Y143" s="423"/>
      <c r="Z143" s="423"/>
      <c r="AA143" s="423"/>
      <c r="AB143" s="423"/>
      <c r="AC143" s="423"/>
      <c r="AD143" s="423"/>
      <c r="AE143" s="423"/>
      <c r="AF143" s="423"/>
      <c r="AG143" s="423"/>
      <c r="AH143" s="423"/>
    </row>
    <row r="144" spans="1:34">
      <c r="A144" s="423"/>
      <c r="B144" s="423"/>
      <c r="C144" s="423"/>
      <c r="D144" s="423"/>
      <c r="E144" s="423"/>
      <c r="F144" s="423"/>
      <c r="G144" s="423"/>
      <c r="H144" s="423"/>
      <c r="I144" s="423"/>
      <c r="J144" s="423"/>
      <c r="K144" s="423"/>
      <c r="L144" s="423"/>
      <c r="M144" s="423"/>
      <c r="N144" s="423"/>
      <c r="O144" s="423"/>
      <c r="P144" s="423"/>
      <c r="Q144" s="423"/>
      <c r="R144" s="423"/>
      <c r="S144" s="423"/>
      <c r="T144" s="423"/>
      <c r="U144" s="423"/>
      <c r="V144" s="423"/>
      <c r="W144" s="423"/>
      <c r="X144" s="423"/>
      <c r="Y144" s="423"/>
      <c r="Z144" s="423"/>
      <c r="AA144" s="423"/>
      <c r="AB144" s="423"/>
      <c r="AC144" s="423"/>
      <c r="AD144" s="423"/>
      <c r="AE144" s="423"/>
      <c r="AF144" s="423"/>
      <c r="AG144" s="423"/>
      <c r="AH144" s="423"/>
    </row>
    <row r="145" spans="1:34">
      <c r="A145" s="423"/>
      <c r="B145" s="423"/>
      <c r="C145" s="423"/>
      <c r="D145" s="423"/>
      <c r="E145" s="423"/>
      <c r="F145" s="423"/>
      <c r="G145" s="423"/>
      <c r="H145" s="423"/>
      <c r="I145" s="423"/>
      <c r="J145" s="423"/>
      <c r="K145" s="423"/>
      <c r="L145" s="423"/>
      <c r="M145" s="423"/>
      <c r="N145" s="423"/>
      <c r="O145" s="423"/>
      <c r="P145" s="423"/>
      <c r="Q145" s="423"/>
      <c r="R145" s="423"/>
      <c r="S145" s="423"/>
      <c r="T145" s="423"/>
      <c r="U145" s="423"/>
      <c r="V145" s="423"/>
      <c r="W145" s="423"/>
      <c r="X145" s="423"/>
      <c r="Y145" s="423"/>
      <c r="Z145" s="423"/>
      <c r="AA145" s="423"/>
      <c r="AB145" s="423"/>
      <c r="AC145" s="423"/>
      <c r="AD145" s="423"/>
      <c r="AE145" s="423"/>
      <c r="AF145" s="423"/>
      <c r="AG145" s="423"/>
      <c r="AH145" s="423"/>
    </row>
    <row r="146" spans="1:34">
      <c r="A146" s="423"/>
      <c r="B146" s="423"/>
      <c r="C146" s="423"/>
      <c r="D146" s="423"/>
      <c r="E146" s="423"/>
      <c r="F146" s="423"/>
      <c r="G146" s="423"/>
      <c r="H146" s="423"/>
      <c r="I146" s="423"/>
      <c r="J146" s="423"/>
      <c r="K146" s="423"/>
      <c r="L146" s="423"/>
      <c r="M146" s="423"/>
      <c r="N146" s="423"/>
      <c r="O146" s="423"/>
      <c r="P146" s="423"/>
      <c r="Q146" s="423"/>
      <c r="R146" s="423"/>
      <c r="S146" s="423"/>
      <c r="T146" s="423"/>
      <c r="U146" s="423"/>
      <c r="V146" s="423"/>
      <c r="W146" s="423"/>
      <c r="X146" s="423"/>
      <c r="Y146" s="423"/>
      <c r="Z146" s="423"/>
      <c r="AA146" s="423"/>
      <c r="AB146" s="423"/>
      <c r="AC146" s="423"/>
      <c r="AD146" s="423"/>
      <c r="AE146" s="423"/>
      <c r="AF146" s="423"/>
      <c r="AG146" s="423"/>
      <c r="AH146" s="423"/>
    </row>
    <row r="147" spans="1:34">
      <c r="A147" s="423"/>
      <c r="B147" s="423"/>
      <c r="C147" s="423"/>
      <c r="D147" s="423"/>
      <c r="E147" s="423"/>
      <c r="F147" s="423"/>
      <c r="G147" s="423"/>
      <c r="H147" s="423"/>
      <c r="I147" s="423"/>
      <c r="J147" s="423"/>
      <c r="K147" s="423"/>
      <c r="L147" s="423"/>
      <c r="M147" s="423"/>
      <c r="N147" s="423"/>
      <c r="O147" s="423"/>
      <c r="P147" s="423"/>
      <c r="Q147" s="423"/>
      <c r="R147" s="423"/>
      <c r="S147" s="423"/>
      <c r="T147" s="423"/>
      <c r="U147" s="423"/>
      <c r="V147" s="423"/>
      <c r="W147" s="423"/>
      <c r="X147" s="423"/>
      <c r="Y147" s="423"/>
      <c r="Z147" s="423"/>
      <c r="AA147" s="423"/>
      <c r="AB147" s="423"/>
      <c r="AC147" s="423"/>
      <c r="AD147" s="423"/>
      <c r="AE147" s="423"/>
      <c r="AF147" s="423"/>
      <c r="AG147" s="423"/>
      <c r="AH147" s="423"/>
    </row>
    <row r="148" spans="1:34">
      <c r="A148" s="423"/>
      <c r="B148" s="423"/>
      <c r="C148" s="423"/>
      <c r="D148" s="423"/>
      <c r="E148" s="423"/>
      <c r="F148" s="423"/>
      <c r="G148" s="423"/>
      <c r="H148" s="423"/>
      <c r="I148" s="423"/>
      <c r="J148" s="423"/>
      <c r="K148" s="423"/>
      <c r="L148" s="423"/>
      <c r="M148" s="423"/>
      <c r="N148" s="423"/>
      <c r="O148" s="423"/>
      <c r="P148" s="423"/>
      <c r="Q148" s="423"/>
      <c r="R148" s="423"/>
      <c r="S148" s="423"/>
      <c r="T148" s="423"/>
      <c r="U148" s="423"/>
      <c r="V148" s="423"/>
      <c r="W148" s="423"/>
      <c r="X148" s="423"/>
      <c r="Y148" s="423"/>
      <c r="Z148" s="423"/>
      <c r="AA148" s="423"/>
      <c r="AB148" s="423"/>
      <c r="AC148" s="423"/>
      <c r="AD148" s="423"/>
      <c r="AE148" s="423"/>
      <c r="AF148" s="423"/>
      <c r="AG148" s="423"/>
      <c r="AH148" s="423"/>
    </row>
    <row r="149" spans="1:34">
      <c r="A149" s="423"/>
      <c r="B149" s="423"/>
      <c r="C149" s="423"/>
      <c r="D149" s="423"/>
      <c r="E149" s="423"/>
      <c r="F149" s="423"/>
      <c r="G149" s="423"/>
      <c r="H149" s="423"/>
      <c r="I149" s="423"/>
      <c r="J149" s="423"/>
      <c r="K149" s="423"/>
      <c r="L149" s="423"/>
      <c r="M149" s="423"/>
      <c r="N149" s="423"/>
      <c r="O149" s="423"/>
      <c r="P149" s="423"/>
      <c r="Q149" s="423"/>
      <c r="R149" s="423"/>
      <c r="S149" s="423"/>
      <c r="T149" s="423"/>
      <c r="U149" s="423"/>
      <c r="V149" s="423"/>
      <c r="W149" s="423"/>
      <c r="X149" s="423"/>
      <c r="Y149" s="423"/>
      <c r="Z149" s="423"/>
      <c r="AA149" s="423"/>
      <c r="AB149" s="423"/>
      <c r="AC149" s="423"/>
      <c r="AD149" s="423"/>
      <c r="AE149" s="423"/>
      <c r="AF149" s="423"/>
      <c r="AG149" s="423"/>
      <c r="AH149" s="423"/>
    </row>
    <row r="150" spans="1:34">
      <c r="A150" s="423"/>
      <c r="B150" s="423"/>
      <c r="C150" s="423"/>
      <c r="D150" s="423"/>
      <c r="E150" s="423"/>
      <c r="F150" s="423"/>
      <c r="G150" s="423"/>
      <c r="H150" s="423"/>
      <c r="I150" s="423"/>
      <c r="J150" s="423"/>
      <c r="K150" s="423"/>
      <c r="L150" s="423"/>
      <c r="M150" s="423"/>
      <c r="N150" s="423"/>
      <c r="O150" s="423"/>
      <c r="P150" s="423"/>
      <c r="Q150" s="423"/>
      <c r="R150" s="423"/>
      <c r="S150" s="423"/>
      <c r="T150" s="423"/>
      <c r="U150" s="423"/>
      <c r="V150" s="423"/>
      <c r="W150" s="423"/>
      <c r="X150" s="423"/>
      <c r="Y150" s="423"/>
      <c r="Z150" s="423"/>
      <c r="AA150" s="423"/>
      <c r="AB150" s="423"/>
      <c r="AC150" s="423"/>
      <c r="AD150" s="423"/>
      <c r="AE150" s="423"/>
      <c r="AF150" s="423"/>
      <c r="AG150" s="423"/>
      <c r="AH150" s="423"/>
    </row>
    <row r="151" spans="1:34">
      <c r="A151" s="423"/>
      <c r="B151" s="423"/>
      <c r="C151" s="423"/>
      <c r="D151" s="423"/>
      <c r="E151" s="423"/>
      <c r="F151" s="423"/>
      <c r="G151" s="423"/>
      <c r="H151" s="423"/>
      <c r="I151" s="423"/>
      <c r="J151" s="423"/>
      <c r="K151" s="423"/>
      <c r="L151" s="423"/>
      <c r="M151" s="423"/>
      <c r="N151" s="423"/>
      <c r="O151" s="423"/>
      <c r="P151" s="423"/>
      <c r="Q151" s="423"/>
      <c r="R151" s="423"/>
      <c r="S151" s="423"/>
      <c r="T151" s="423"/>
      <c r="U151" s="423"/>
      <c r="V151" s="423"/>
      <c r="W151" s="423"/>
      <c r="X151" s="423"/>
      <c r="Y151" s="423"/>
      <c r="Z151" s="423"/>
      <c r="AA151" s="423"/>
      <c r="AB151" s="423"/>
      <c r="AC151" s="423"/>
      <c r="AD151" s="423"/>
      <c r="AE151" s="423"/>
      <c r="AF151" s="423"/>
      <c r="AG151" s="423"/>
      <c r="AH151" s="423"/>
    </row>
    <row r="152" spans="1:34">
      <c r="A152" s="423"/>
      <c r="B152" s="423"/>
      <c r="C152" s="423"/>
      <c r="D152" s="423"/>
      <c r="E152" s="423"/>
      <c r="F152" s="423"/>
      <c r="G152" s="423"/>
      <c r="H152" s="423"/>
      <c r="I152" s="423"/>
      <c r="J152" s="423"/>
      <c r="K152" s="423"/>
      <c r="L152" s="423"/>
      <c r="M152" s="423"/>
      <c r="N152" s="423"/>
      <c r="O152" s="423"/>
      <c r="P152" s="423"/>
      <c r="Q152" s="423"/>
      <c r="R152" s="423"/>
      <c r="S152" s="423"/>
      <c r="T152" s="423"/>
      <c r="U152" s="423"/>
      <c r="V152" s="423"/>
      <c r="W152" s="423"/>
      <c r="X152" s="423"/>
      <c r="Y152" s="423"/>
      <c r="Z152" s="423"/>
      <c r="AA152" s="423"/>
      <c r="AB152" s="423"/>
      <c r="AC152" s="423"/>
      <c r="AD152" s="423"/>
      <c r="AE152" s="423"/>
      <c r="AF152" s="423"/>
      <c r="AG152" s="423"/>
      <c r="AH152" s="423"/>
    </row>
    <row r="153" spans="1:34">
      <c r="A153" s="423"/>
      <c r="B153" s="423"/>
      <c r="C153" s="423"/>
      <c r="D153" s="423"/>
      <c r="E153" s="423"/>
      <c r="F153" s="423"/>
      <c r="G153" s="423"/>
      <c r="H153" s="423"/>
      <c r="I153" s="423"/>
      <c r="J153" s="423"/>
      <c r="K153" s="423"/>
      <c r="L153" s="423"/>
      <c r="M153" s="423"/>
      <c r="N153" s="423"/>
      <c r="O153" s="423"/>
      <c r="P153" s="423"/>
      <c r="Q153" s="423"/>
      <c r="R153" s="423"/>
      <c r="S153" s="423"/>
      <c r="T153" s="423"/>
      <c r="U153" s="423"/>
      <c r="V153" s="423"/>
      <c r="W153" s="423"/>
      <c r="X153" s="423"/>
      <c r="Y153" s="423"/>
      <c r="Z153" s="423"/>
      <c r="AA153" s="423"/>
      <c r="AB153" s="423"/>
      <c r="AC153" s="423"/>
      <c r="AD153" s="423"/>
      <c r="AE153" s="423"/>
      <c r="AF153" s="423"/>
      <c r="AG153" s="423"/>
      <c r="AH153" s="423"/>
    </row>
    <row r="154" spans="1:34">
      <c r="A154" s="423"/>
      <c r="B154" s="423"/>
      <c r="C154" s="423"/>
      <c r="D154" s="423"/>
      <c r="E154" s="423"/>
      <c r="F154" s="423"/>
      <c r="G154" s="423"/>
      <c r="H154" s="423"/>
      <c r="I154" s="423"/>
      <c r="J154" s="423"/>
      <c r="K154" s="423"/>
      <c r="L154" s="423"/>
      <c r="M154" s="423"/>
      <c r="N154" s="423"/>
      <c r="O154" s="423"/>
      <c r="P154" s="423"/>
      <c r="Q154" s="423"/>
      <c r="R154" s="423"/>
      <c r="S154" s="423"/>
      <c r="T154" s="423"/>
      <c r="U154" s="423"/>
      <c r="V154" s="423"/>
      <c r="W154" s="423"/>
      <c r="X154" s="423"/>
      <c r="Y154" s="423"/>
      <c r="Z154" s="423"/>
      <c r="AA154" s="423"/>
      <c r="AB154" s="423"/>
      <c r="AC154" s="423"/>
      <c r="AD154" s="423"/>
      <c r="AE154" s="423"/>
      <c r="AF154" s="423"/>
      <c r="AG154" s="423"/>
      <c r="AH154" s="423"/>
    </row>
    <row r="155" spans="1:34">
      <c r="A155" s="423"/>
      <c r="B155" s="423"/>
      <c r="C155" s="423"/>
      <c r="D155" s="423"/>
      <c r="E155" s="423"/>
      <c r="F155" s="423"/>
      <c r="G155" s="423"/>
      <c r="H155" s="423"/>
      <c r="I155" s="423"/>
      <c r="J155" s="423"/>
      <c r="K155" s="423"/>
      <c r="L155" s="423"/>
      <c r="M155" s="423"/>
      <c r="N155" s="423"/>
      <c r="O155" s="423"/>
      <c r="P155" s="423"/>
      <c r="Q155" s="423"/>
      <c r="R155" s="423"/>
      <c r="S155" s="423"/>
      <c r="T155" s="423"/>
      <c r="U155" s="423"/>
      <c r="V155" s="423"/>
      <c r="W155" s="423"/>
      <c r="X155" s="423"/>
      <c r="Y155" s="423"/>
      <c r="Z155" s="423"/>
      <c r="AA155" s="423"/>
      <c r="AB155" s="423"/>
      <c r="AC155" s="423"/>
      <c r="AD155" s="423"/>
      <c r="AE155" s="423"/>
      <c r="AF155" s="423"/>
      <c r="AG155" s="423"/>
      <c r="AH155" s="423"/>
    </row>
    <row r="156" spans="1:34">
      <c r="A156" s="423"/>
      <c r="B156" s="423"/>
      <c r="C156" s="423"/>
      <c r="D156" s="423"/>
      <c r="E156" s="423"/>
      <c r="F156" s="423"/>
      <c r="G156" s="423"/>
      <c r="H156" s="423"/>
      <c r="I156" s="423"/>
      <c r="J156" s="423"/>
      <c r="K156" s="423"/>
      <c r="L156" s="423"/>
      <c r="M156" s="423"/>
      <c r="N156" s="423"/>
      <c r="O156" s="423"/>
      <c r="P156" s="423"/>
      <c r="Q156" s="423"/>
      <c r="R156" s="423"/>
      <c r="S156" s="423"/>
      <c r="T156" s="423"/>
      <c r="U156" s="423"/>
      <c r="V156" s="423"/>
      <c r="W156" s="423"/>
      <c r="X156" s="423"/>
      <c r="Y156" s="423"/>
      <c r="Z156" s="423"/>
      <c r="AA156" s="423"/>
      <c r="AB156" s="423"/>
      <c r="AC156" s="423"/>
      <c r="AD156" s="423"/>
      <c r="AE156" s="423"/>
      <c r="AF156" s="423"/>
      <c r="AG156" s="423"/>
      <c r="AH156" s="423"/>
    </row>
    <row r="157" spans="1:34">
      <c r="A157" s="423"/>
      <c r="B157" s="423"/>
      <c r="C157" s="423"/>
      <c r="D157" s="423"/>
      <c r="E157" s="423"/>
      <c r="F157" s="423"/>
      <c r="G157" s="423"/>
      <c r="H157" s="423"/>
      <c r="I157" s="423"/>
      <c r="J157" s="423"/>
      <c r="K157" s="423"/>
      <c r="L157" s="423"/>
      <c r="M157" s="423"/>
      <c r="N157" s="423"/>
      <c r="O157" s="423"/>
      <c r="P157" s="423"/>
      <c r="Q157" s="423"/>
      <c r="R157" s="423"/>
      <c r="S157" s="423"/>
      <c r="T157" s="423"/>
      <c r="U157" s="423"/>
      <c r="V157" s="423"/>
      <c r="W157" s="423"/>
      <c r="X157" s="423"/>
      <c r="Y157" s="423"/>
      <c r="Z157" s="423"/>
      <c r="AA157" s="423"/>
      <c r="AB157" s="423"/>
      <c r="AC157" s="423"/>
      <c r="AD157" s="423"/>
      <c r="AE157" s="423"/>
      <c r="AF157" s="423"/>
      <c r="AG157" s="423"/>
      <c r="AH157" s="423"/>
    </row>
    <row r="158" spans="1:34">
      <c r="A158" s="423"/>
      <c r="B158" s="423"/>
      <c r="C158" s="423"/>
      <c r="D158" s="423"/>
      <c r="E158" s="423"/>
      <c r="F158" s="423"/>
      <c r="G158" s="423"/>
      <c r="H158" s="423"/>
      <c r="I158" s="423"/>
      <c r="J158" s="423"/>
      <c r="K158" s="423"/>
      <c r="L158" s="423"/>
      <c r="M158" s="423"/>
      <c r="N158" s="423"/>
      <c r="O158" s="423"/>
      <c r="P158" s="423"/>
      <c r="Q158" s="423"/>
      <c r="R158" s="423"/>
      <c r="S158" s="423"/>
      <c r="T158" s="423"/>
      <c r="U158" s="423"/>
      <c r="V158" s="423"/>
      <c r="W158" s="423"/>
      <c r="X158" s="423"/>
      <c r="Y158" s="423"/>
      <c r="Z158" s="423"/>
      <c r="AA158" s="423"/>
      <c r="AB158" s="423"/>
      <c r="AC158" s="423"/>
      <c r="AD158" s="423"/>
      <c r="AE158" s="423"/>
      <c r="AF158" s="423"/>
      <c r="AG158" s="423"/>
      <c r="AH158" s="423"/>
    </row>
    <row r="159" spans="1:34">
      <c r="A159" s="423"/>
      <c r="B159" s="423"/>
      <c r="C159" s="423"/>
      <c r="D159" s="423"/>
      <c r="E159" s="423"/>
      <c r="F159" s="423"/>
      <c r="G159" s="423"/>
      <c r="H159" s="423"/>
      <c r="I159" s="423"/>
      <c r="J159" s="423"/>
      <c r="K159" s="423"/>
      <c r="L159" s="423"/>
      <c r="M159" s="423"/>
      <c r="N159" s="423"/>
      <c r="O159" s="423"/>
      <c r="P159" s="423"/>
      <c r="Q159" s="423"/>
      <c r="R159" s="423"/>
      <c r="S159" s="423"/>
      <c r="T159" s="423"/>
      <c r="U159" s="423"/>
      <c r="V159" s="423"/>
      <c r="W159" s="423"/>
      <c r="X159" s="423"/>
      <c r="Y159" s="423"/>
      <c r="Z159" s="423"/>
      <c r="AA159" s="423"/>
      <c r="AB159" s="423"/>
      <c r="AC159" s="423"/>
      <c r="AD159" s="423"/>
      <c r="AE159" s="423"/>
      <c r="AF159" s="423"/>
      <c r="AG159" s="423"/>
      <c r="AH159" s="423"/>
    </row>
    <row r="160" spans="1:34">
      <c r="A160" s="423"/>
      <c r="B160" s="423"/>
      <c r="C160" s="423"/>
      <c r="D160" s="423"/>
      <c r="E160" s="423"/>
      <c r="F160" s="423"/>
      <c r="G160" s="423"/>
      <c r="H160" s="423"/>
      <c r="I160" s="423"/>
      <c r="J160" s="423"/>
      <c r="K160" s="423"/>
      <c r="L160" s="423"/>
      <c r="M160" s="423"/>
      <c r="N160" s="423"/>
      <c r="O160" s="423"/>
      <c r="P160" s="423"/>
      <c r="Q160" s="423"/>
      <c r="R160" s="423"/>
      <c r="S160" s="423"/>
      <c r="T160" s="423"/>
      <c r="U160" s="423"/>
      <c r="V160" s="423"/>
      <c r="W160" s="423"/>
      <c r="X160" s="423"/>
      <c r="Y160" s="423"/>
      <c r="Z160" s="423"/>
      <c r="AA160" s="423"/>
      <c r="AB160" s="423"/>
      <c r="AC160" s="423"/>
      <c r="AD160" s="423"/>
      <c r="AE160" s="423"/>
      <c r="AF160" s="423"/>
      <c r="AG160" s="423"/>
      <c r="AH160" s="423"/>
    </row>
    <row r="161" spans="1:34">
      <c r="A161" s="423"/>
      <c r="B161" s="423"/>
      <c r="C161" s="423"/>
      <c r="D161" s="423"/>
      <c r="E161" s="423"/>
      <c r="F161" s="423"/>
      <c r="G161" s="423"/>
      <c r="H161" s="423"/>
      <c r="I161" s="423"/>
      <c r="J161" s="423"/>
      <c r="K161" s="423"/>
      <c r="L161" s="423"/>
      <c r="M161" s="423"/>
      <c r="N161" s="423"/>
      <c r="O161" s="423"/>
      <c r="P161" s="423"/>
      <c r="Q161" s="423"/>
      <c r="R161" s="423"/>
      <c r="S161" s="423"/>
      <c r="T161" s="423"/>
      <c r="U161" s="423"/>
      <c r="V161" s="423"/>
      <c r="W161" s="423"/>
      <c r="X161" s="423"/>
      <c r="Y161" s="423"/>
      <c r="Z161" s="423"/>
      <c r="AA161" s="423"/>
      <c r="AB161" s="423"/>
      <c r="AC161" s="423"/>
      <c r="AD161" s="423"/>
      <c r="AE161" s="423"/>
      <c r="AF161" s="423"/>
      <c r="AG161" s="423"/>
      <c r="AH161" s="423"/>
    </row>
    <row r="162" spans="1:34">
      <c r="A162" s="423"/>
      <c r="B162" s="423"/>
      <c r="C162" s="423"/>
      <c r="D162" s="423"/>
      <c r="E162" s="423"/>
      <c r="F162" s="423"/>
      <c r="G162" s="423"/>
      <c r="H162" s="423"/>
      <c r="I162" s="423"/>
      <c r="J162" s="423"/>
      <c r="K162" s="423"/>
      <c r="L162" s="423"/>
      <c r="M162" s="423"/>
      <c r="N162" s="423"/>
      <c r="O162" s="423"/>
      <c r="P162" s="423"/>
      <c r="Q162" s="423"/>
      <c r="R162" s="423"/>
      <c r="S162" s="423"/>
      <c r="T162" s="423"/>
      <c r="U162" s="423"/>
      <c r="V162" s="423"/>
      <c r="W162" s="423"/>
      <c r="X162" s="423"/>
      <c r="Y162" s="423"/>
      <c r="Z162" s="423"/>
      <c r="AA162" s="423"/>
      <c r="AB162" s="423"/>
      <c r="AC162" s="423"/>
      <c r="AD162" s="423"/>
      <c r="AE162" s="423"/>
      <c r="AF162" s="423"/>
      <c r="AG162" s="423"/>
      <c r="AH162" s="423"/>
    </row>
    <row r="163" spans="1:34">
      <c r="A163" s="423"/>
      <c r="B163" s="423"/>
      <c r="C163" s="423"/>
      <c r="D163" s="423"/>
      <c r="E163" s="423"/>
      <c r="F163" s="423"/>
      <c r="G163" s="423"/>
      <c r="H163" s="423"/>
      <c r="I163" s="423"/>
      <c r="J163" s="423"/>
      <c r="K163" s="423"/>
      <c r="L163" s="423"/>
      <c r="M163" s="423"/>
      <c r="N163" s="423"/>
      <c r="O163" s="423"/>
      <c r="P163" s="423"/>
      <c r="Q163" s="423"/>
      <c r="R163" s="423"/>
      <c r="S163" s="423"/>
      <c r="T163" s="423"/>
      <c r="U163" s="423"/>
      <c r="V163" s="423"/>
      <c r="W163" s="423"/>
      <c r="X163" s="423"/>
      <c r="Y163" s="423"/>
      <c r="Z163" s="423"/>
      <c r="AA163" s="423"/>
      <c r="AB163" s="423"/>
      <c r="AC163" s="423"/>
      <c r="AD163" s="423"/>
      <c r="AE163" s="423"/>
      <c r="AF163" s="423"/>
      <c r="AG163" s="423"/>
      <c r="AH163" s="423"/>
    </row>
    <row r="164" spans="1:34">
      <c r="A164" s="423"/>
      <c r="B164" s="423"/>
      <c r="C164" s="423"/>
      <c r="D164" s="423"/>
      <c r="E164" s="423"/>
      <c r="F164" s="423"/>
      <c r="G164" s="423"/>
      <c r="H164" s="423"/>
      <c r="I164" s="423"/>
      <c r="J164" s="423"/>
      <c r="K164" s="423"/>
      <c r="L164" s="423"/>
      <c r="M164" s="423"/>
      <c r="N164" s="423"/>
      <c r="O164" s="423"/>
      <c r="P164" s="423"/>
      <c r="Q164" s="423"/>
      <c r="R164" s="423"/>
      <c r="S164" s="423"/>
      <c r="T164" s="423"/>
      <c r="U164" s="423"/>
      <c r="V164" s="423"/>
      <c r="W164" s="423"/>
      <c r="X164" s="423"/>
      <c r="Y164" s="423"/>
      <c r="Z164" s="423"/>
      <c r="AA164" s="423"/>
      <c r="AB164" s="423"/>
      <c r="AC164" s="423"/>
      <c r="AD164" s="423"/>
      <c r="AE164" s="423"/>
      <c r="AF164" s="423"/>
      <c r="AG164" s="423"/>
      <c r="AH164" s="423"/>
    </row>
    <row r="165" spans="1:34">
      <c r="A165" s="423"/>
      <c r="B165" s="423"/>
      <c r="C165" s="423"/>
      <c r="D165" s="423"/>
      <c r="E165" s="423"/>
      <c r="F165" s="423"/>
      <c r="G165" s="423"/>
      <c r="H165" s="423"/>
      <c r="I165" s="423"/>
      <c r="J165" s="423"/>
      <c r="K165" s="423"/>
      <c r="L165" s="423"/>
      <c r="M165" s="423"/>
      <c r="N165" s="423"/>
      <c r="O165" s="423"/>
      <c r="P165" s="423"/>
      <c r="Q165" s="423"/>
      <c r="R165" s="423"/>
      <c r="S165" s="423"/>
      <c r="T165" s="423"/>
      <c r="U165" s="423"/>
      <c r="V165" s="423"/>
      <c r="W165" s="423"/>
      <c r="X165" s="423"/>
      <c r="Y165" s="423"/>
      <c r="Z165" s="423"/>
      <c r="AA165" s="423"/>
      <c r="AB165" s="423"/>
      <c r="AC165" s="423"/>
      <c r="AD165" s="423"/>
      <c r="AE165" s="423"/>
      <c r="AF165" s="423"/>
      <c r="AG165" s="423"/>
      <c r="AH165" s="423"/>
    </row>
    <row r="166" spans="1:34">
      <c r="A166" s="423"/>
      <c r="B166" s="423"/>
      <c r="C166" s="423"/>
      <c r="D166" s="423"/>
      <c r="E166" s="423"/>
      <c r="F166" s="423"/>
      <c r="G166" s="423"/>
      <c r="H166" s="423"/>
      <c r="I166" s="423"/>
      <c r="J166" s="423"/>
      <c r="K166" s="423"/>
      <c r="L166" s="423"/>
      <c r="M166" s="423"/>
      <c r="N166" s="423"/>
      <c r="O166" s="423"/>
      <c r="P166" s="423"/>
      <c r="Q166" s="423"/>
      <c r="R166" s="423"/>
      <c r="S166" s="423"/>
      <c r="T166" s="423"/>
      <c r="U166" s="423"/>
      <c r="V166" s="423"/>
      <c r="W166" s="423"/>
      <c r="X166" s="423"/>
      <c r="Y166" s="423"/>
      <c r="Z166" s="423"/>
      <c r="AA166" s="423"/>
      <c r="AB166" s="423"/>
      <c r="AC166" s="423"/>
      <c r="AD166" s="423"/>
      <c r="AE166" s="423"/>
      <c r="AF166" s="423"/>
      <c r="AG166" s="423"/>
      <c r="AH166" s="423"/>
    </row>
    <row r="167" spans="1:34">
      <c r="A167" s="423"/>
      <c r="B167" s="423"/>
      <c r="C167" s="423"/>
      <c r="D167" s="423"/>
      <c r="E167" s="423"/>
      <c r="F167" s="423"/>
      <c r="G167" s="423"/>
      <c r="H167" s="423"/>
      <c r="I167" s="423"/>
      <c r="J167" s="423"/>
      <c r="K167" s="423"/>
      <c r="L167" s="423"/>
      <c r="M167" s="423"/>
      <c r="N167" s="423"/>
      <c r="O167" s="423"/>
      <c r="P167" s="423"/>
      <c r="Q167" s="423"/>
      <c r="R167" s="423"/>
      <c r="S167" s="423"/>
      <c r="T167" s="423"/>
      <c r="U167" s="423"/>
      <c r="V167" s="423"/>
      <c r="W167" s="423"/>
      <c r="X167" s="423"/>
      <c r="Y167" s="423"/>
      <c r="Z167" s="423"/>
      <c r="AA167" s="423"/>
      <c r="AB167" s="423"/>
      <c r="AC167" s="423"/>
      <c r="AD167" s="423"/>
      <c r="AE167" s="423"/>
      <c r="AF167" s="423"/>
      <c r="AG167" s="423"/>
      <c r="AH167" s="423"/>
    </row>
    <row r="168" spans="1:34">
      <c r="A168" s="423"/>
      <c r="B168" s="423"/>
      <c r="C168" s="423"/>
      <c r="D168" s="423"/>
      <c r="E168" s="423"/>
      <c r="F168" s="423"/>
      <c r="G168" s="423"/>
      <c r="H168" s="423"/>
      <c r="I168" s="423"/>
      <c r="J168" s="423"/>
      <c r="K168" s="423"/>
      <c r="L168" s="423"/>
      <c r="M168" s="423"/>
      <c r="N168" s="423"/>
      <c r="O168" s="423"/>
      <c r="P168" s="423"/>
      <c r="Q168" s="423"/>
      <c r="R168" s="423"/>
      <c r="S168" s="423"/>
      <c r="T168" s="423"/>
      <c r="U168" s="423"/>
      <c r="V168" s="423"/>
      <c r="W168" s="423"/>
      <c r="X168" s="423"/>
      <c r="Y168" s="423"/>
      <c r="Z168" s="423"/>
      <c r="AA168" s="423"/>
      <c r="AB168" s="423"/>
      <c r="AC168" s="423"/>
      <c r="AD168" s="423"/>
      <c r="AE168" s="423"/>
      <c r="AF168" s="423"/>
      <c r="AG168" s="423"/>
      <c r="AH168" s="423"/>
    </row>
    <row r="169" spans="1:34">
      <c r="A169" s="423"/>
      <c r="B169" s="423"/>
      <c r="C169" s="423"/>
      <c r="D169" s="423"/>
      <c r="E169" s="423"/>
      <c r="F169" s="423"/>
      <c r="G169" s="423"/>
      <c r="H169" s="423"/>
      <c r="I169" s="423"/>
      <c r="J169" s="423"/>
      <c r="K169" s="423"/>
      <c r="L169" s="423"/>
      <c r="M169" s="423"/>
      <c r="N169" s="423"/>
      <c r="O169" s="423"/>
      <c r="P169" s="423"/>
      <c r="Q169" s="423"/>
      <c r="R169" s="423"/>
      <c r="S169" s="423"/>
      <c r="T169" s="423"/>
      <c r="U169" s="423"/>
      <c r="V169" s="423"/>
      <c r="W169" s="423"/>
      <c r="X169" s="423"/>
      <c r="Y169" s="423"/>
      <c r="Z169" s="423"/>
      <c r="AA169" s="423"/>
      <c r="AB169" s="423"/>
      <c r="AC169" s="423"/>
      <c r="AD169" s="423"/>
      <c r="AE169" s="423"/>
      <c r="AF169" s="423"/>
      <c r="AG169" s="423"/>
      <c r="AH169" s="423"/>
    </row>
    <row r="170" spans="1:34">
      <c r="A170" s="423"/>
      <c r="B170" s="423"/>
      <c r="C170" s="423"/>
      <c r="D170" s="423"/>
      <c r="E170" s="423"/>
      <c r="F170" s="423"/>
      <c r="G170" s="423"/>
      <c r="H170" s="423"/>
      <c r="I170" s="423"/>
      <c r="J170" s="423"/>
      <c r="K170" s="423"/>
      <c r="L170" s="423"/>
      <c r="M170" s="423"/>
      <c r="N170" s="423"/>
      <c r="O170" s="423"/>
      <c r="P170" s="423"/>
      <c r="Q170" s="423"/>
      <c r="R170" s="423"/>
      <c r="S170" s="423"/>
      <c r="T170" s="423"/>
      <c r="U170" s="423"/>
      <c r="V170" s="423"/>
      <c r="W170" s="423"/>
      <c r="X170" s="423"/>
      <c r="Y170" s="423"/>
      <c r="Z170" s="423"/>
      <c r="AA170" s="423"/>
      <c r="AB170" s="423"/>
      <c r="AC170" s="423"/>
      <c r="AD170" s="423"/>
      <c r="AE170" s="423"/>
      <c r="AF170" s="423"/>
      <c r="AG170" s="423"/>
      <c r="AH170" s="423"/>
    </row>
    <row r="171" spans="1:34">
      <c r="A171" s="423"/>
      <c r="B171" s="423"/>
      <c r="C171" s="423"/>
      <c r="D171" s="423"/>
      <c r="E171" s="423"/>
      <c r="F171" s="423"/>
      <c r="G171" s="423"/>
      <c r="H171" s="423"/>
      <c r="I171" s="423"/>
      <c r="J171" s="423"/>
      <c r="K171" s="423"/>
      <c r="L171" s="423"/>
      <c r="M171" s="423"/>
      <c r="N171" s="423"/>
      <c r="O171" s="423"/>
      <c r="P171" s="423"/>
      <c r="Q171" s="423"/>
      <c r="R171" s="423"/>
      <c r="S171" s="423"/>
      <c r="T171" s="423"/>
      <c r="U171" s="423"/>
      <c r="V171" s="423"/>
      <c r="W171" s="423"/>
      <c r="X171" s="423"/>
      <c r="Y171" s="423"/>
      <c r="Z171" s="423"/>
      <c r="AA171" s="423"/>
      <c r="AB171" s="423"/>
      <c r="AC171" s="423"/>
      <c r="AD171" s="423"/>
      <c r="AE171" s="423"/>
      <c r="AF171" s="423"/>
      <c r="AG171" s="423"/>
      <c r="AH171" s="423"/>
    </row>
    <row r="172" spans="1:34">
      <c r="A172" s="423"/>
      <c r="B172" s="423"/>
      <c r="C172" s="423"/>
      <c r="D172" s="423"/>
      <c r="E172" s="423"/>
      <c r="F172" s="423"/>
      <c r="G172" s="423"/>
      <c r="H172" s="423"/>
      <c r="I172" s="423"/>
      <c r="J172" s="423"/>
      <c r="K172" s="423"/>
      <c r="L172" s="423"/>
      <c r="M172" s="423"/>
      <c r="N172" s="423"/>
      <c r="O172" s="423"/>
      <c r="P172" s="423"/>
      <c r="Q172" s="423"/>
      <c r="R172" s="423"/>
      <c r="S172" s="423"/>
      <c r="T172" s="423"/>
      <c r="U172" s="423"/>
      <c r="V172" s="423"/>
      <c r="W172" s="423"/>
      <c r="X172" s="423"/>
      <c r="Y172" s="423"/>
      <c r="Z172" s="423"/>
      <c r="AA172" s="423"/>
      <c r="AB172" s="423"/>
      <c r="AC172" s="423"/>
      <c r="AD172" s="423"/>
      <c r="AE172" s="423"/>
      <c r="AF172" s="423"/>
      <c r="AG172" s="423"/>
      <c r="AH172" s="423"/>
    </row>
    <row r="173" spans="1:34">
      <c r="A173" s="423"/>
      <c r="B173" s="423"/>
      <c r="C173" s="423"/>
      <c r="D173" s="423"/>
      <c r="E173" s="423"/>
      <c r="F173" s="423"/>
      <c r="G173" s="423"/>
      <c r="H173" s="423"/>
      <c r="I173" s="423"/>
      <c r="J173" s="423"/>
      <c r="K173" s="423"/>
      <c r="L173" s="423"/>
      <c r="M173" s="423"/>
      <c r="N173" s="423"/>
      <c r="O173" s="423"/>
      <c r="P173" s="423"/>
      <c r="Q173" s="423"/>
      <c r="R173" s="423"/>
      <c r="S173" s="423"/>
      <c r="T173" s="423"/>
      <c r="U173" s="423"/>
      <c r="V173" s="423"/>
      <c r="W173" s="423"/>
      <c r="X173" s="423"/>
      <c r="Y173" s="423"/>
      <c r="Z173" s="423"/>
      <c r="AA173" s="423"/>
      <c r="AB173" s="423"/>
      <c r="AC173" s="423"/>
      <c r="AD173" s="423"/>
      <c r="AE173" s="423"/>
      <c r="AF173" s="423"/>
      <c r="AG173" s="423"/>
      <c r="AH173" s="423"/>
    </row>
    <row r="174" spans="1:34">
      <c r="A174" s="423"/>
      <c r="B174" s="423"/>
      <c r="C174" s="423"/>
      <c r="D174" s="423"/>
      <c r="E174" s="423"/>
      <c r="F174" s="423"/>
      <c r="G174" s="423"/>
      <c r="H174" s="423"/>
      <c r="I174" s="423"/>
      <c r="J174" s="423"/>
      <c r="K174" s="423"/>
      <c r="L174" s="423"/>
      <c r="M174" s="423"/>
      <c r="N174" s="423"/>
      <c r="O174" s="423"/>
      <c r="P174" s="423"/>
      <c r="Q174" s="423"/>
      <c r="R174" s="423"/>
      <c r="S174" s="423"/>
      <c r="T174" s="423"/>
      <c r="U174" s="423"/>
      <c r="V174" s="423"/>
      <c r="W174" s="423"/>
      <c r="X174" s="423"/>
      <c r="Y174" s="423"/>
      <c r="Z174" s="423"/>
      <c r="AA174" s="423"/>
      <c r="AB174" s="423"/>
      <c r="AC174" s="423"/>
      <c r="AD174" s="423"/>
      <c r="AE174" s="423"/>
      <c r="AF174" s="423"/>
      <c r="AG174" s="423"/>
      <c r="AH174" s="423"/>
    </row>
    <row r="175" spans="1:34">
      <c r="A175" s="423"/>
      <c r="B175" s="423"/>
      <c r="C175" s="423"/>
      <c r="D175" s="423"/>
      <c r="E175" s="423"/>
      <c r="F175" s="423"/>
      <c r="G175" s="423"/>
      <c r="H175" s="423"/>
      <c r="I175" s="423"/>
      <c r="J175" s="423"/>
      <c r="K175" s="423"/>
      <c r="L175" s="423"/>
      <c r="M175" s="423"/>
      <c r="N175" s="423"/>
      <c r="O175" s="423"/>
      <c r="P175" s="423"/>
      <c r="Q175" s="423"/>
      <c r="R175" s="423"/>
      <c r="S175" s="423"/>
      <c r="T175" s="423"/>
      <c r="U175" s="423"/>
      <c r="V175" s="423"/>
      <c r="W175" s="423"/>
      <c r="X175" s="423"/>
      <c r="Y175" s="423"/>
      <c r="Z175" s="423"/>
      <c r="AA175" s="423"/>
      <c r="AB175" s="423"/>
      <c r="AC175" s="423"/>
      <c r="AD175" s="423"/>
      <c r="AE175" s="423"/>
      <c r="AF175" s="423"/>
      <c r="AG175" s="423"/>
      <c r="AH175" s="423"/>
    </row>
    <row r="176" spans="1:34">
      <c r="A176" s="423"/>
      <c r="B176" s="423"/>
      <c r="C176" s="423"/>
      <c r="D176" s="423"/>
      <c r="E176" s="423"/>
      <c r="F176" s="423"/>
      <c r="G176" s="423"/>
      <c r="H176" s="423"/>
      <c r="I176" s="423"/>
      <c r="J176" s="423"/>
      <c r="K176" s="423"/>
      <c r="L176" s="423"/>
      <c r="M176" s="423"/>
      <c r="N176" s="423"/>
      <c r="O176" s="423"/>
      <c r="P176" s="423"/>
      <c r="Q176" s="423"/>
      <c r="R176" s="423"/>
      <c r="S176" s="423"/>
      <c r="T176" s="423"/>
      <c r="U176" s="423"/>
      <c r="V176" s="423"/>
      <c r="W176" s="423"/>
      <c r="X176" s="423"/>
      <c r="Y176" s="423"/>
      <c r="Z176" s="423"/>
      <c r="AA176" s="423"/>
      <c r="AB176" s="423"/>
      <c r="AC176" s="423"/>
      <c r="AD176" s="423"/>
      <c r="AE176" s="423"/>
      <c r="AF176" s="423"/>
      <c r="AG176" s="423"/>
      <c r="AH176" s="423"/>
    </row>
    <row r="177" spans="1:34">
      <c r="A177" s="423"/>
      <c r="B177" s="423"/>
      <c r="C177" s="423"/>
      <c r="D177" s="423"/>
      <c r="E177" s="423"/>
      <c r="F177" s="423"/>
      <c r="G177" s="423"/>
      <c r="H177" s="423"/>
      <c r="I177" s="423"/>
      <c r="J177" s="423"/>
      <c r="K177" s="423"/>
      <c r="L177" s="423"/>
      <c r="M177" s="423"/>
      <c r="N177" s="423"/>
      <c r="O177" s="423"/>
      <c r="P177" s="423"/>
      <c r="Q177" s="423"/>
      <c r="R177" s="423"/>
      <c r="S177" s="423"/>
      <c r="T177" s="423"/>
      <c r="U177" s="423"/>
      <c r="V177" s="423"/>
      <c r="W177" s="423"/>
      <c r="X177" s="423"/>
      <c r="Y177" s="423"/>
      <c r="Z177" s="423"/>
      <c r="AA177" s="423"/>
      <c r="AB177" s="423"/>
      <c r="AC177" s="423"/>
      <c r="AD177" s="423"/>
      <c r="AE177" s="423"/>
      <c r="AF177" s="423"/>
      <c r="AG177" s="423"/>
      <c r="AH177" s="423"/>
    </row>
    <row r="178" spans="1:34">
      <c r="A178" s="423"/>
      <c r="B178" s="423"/>
      <c r="C178" s="423"/>
      <c r="D178" s="423"/>
      <c r="E178" s="423"/>
      <c r="F178" s="423"/>
      <c r="G178" s="423"/>
      <c r="H178" s="423"/>
      <c r="I178" s="423"/>
      <c r="J178" s="423"/>
      <c r="K178" s="423"/>
      <c r="L178" s="423"/>
      <c r="M178" s="423"/>
      <c r="N178" s="423"/>
      <c r="O178" s="423"/>
      <c r="P178" s="423"/>
      <c r="Q178" s="423"/>
      <c r="R178" s="423"/>
      <c r="S178" s="423"/>
      <c r="T178" s="423"/>
      <c r="U178" s="423"/>
      <c r="V178" s="423"/>
      <c r="W178" s="423"/>
      <c r="X178" s="423"/>
      <c r="Y178" s="423"/>
      <c r="Z178" s="423"/>
      <c r="AA178" s="423"/>
      <c r="AB178" s="423"/>
      <c r="AC178" s="423"/>
      <c r="AD178" s="423"/>
      <c r="AE178" s="423"/>
      <c r="AF178" s="423"/>
      <c r="AG178" s="423"/>
      <c r="AH178" s="423"/>
    </row>
    <row r="179" spans="1:34">
      <c r="A179" s="423"/>
      <c r="B179" s="423"/>
      <c r="C179" s="423"/>
      <c r="D179" s="423"/>
      <c r="E179" s="423"/>
      <c r="F179" s="423"/>
      <c r="G179" s="423"/>
      <c r="H179" s="423"/>
      <c r="I179" s="423"/>
      <c r="J179" s="423"/>
      <c r="K179" s="423"/>
      <c r="L179" s="423"/>
      <c r="M179" s="423"/>
      <c r="N179" s="423"/>
      <c r="O179" s="423"/>
      <c r="P179" s="423"/>
      <c r="Q179" s="423"/>
      <c r="R179" s="423"/>
      <c r="S179" s="423"/>
      <c r="T179" s="423"/>
      <c r="U179" s="423"/>
      <c r="V179" s="423"/>
      <c r="W179" s="423"/>
      <c r="X179" s="423"/>
      <c r="Y179" s="423"/>
      <c r="Z179" s="423"/>
      <c r="AA179" s="423"/>
      <c r="AB179" s="423"/>
      <c r="AC179" s="423"/>
      <c r="AD179" s="423"/>
      <c r="AE179" s="423"/>
      <c r="AF179" s="423"/>
      <c r="AG179" s="423"/>
      <c r="AH179" s="423"/>
    </row>
    <row r="180" spans="1:34">
      <c r="A180" s="423"/>
      <c r="B180" s="423"/>
      <c r="C180" s="423"/>
      <c r="D180" s="423"/>
      <c r="E180" s="423"/>
      <c r="F180" s="423"/>
      <c r="G180" s="423"/>
      <c r="H180" s="423"/>
      <c r="I180" s="423"/>
      <c r="J180" s="423"/>
      <c r="K180" s="423"/>
      <c r="L180" s="423"/>
      <c r="M180" s="423"/>
      <c r="N180" s="423"/>
      <c r="O180" s="423"/>
      <c r="P180" s="423"/>
      <c r="Q180" s="423"/>
      <c r="R180" s="423"/>
      <c r="S180" s="423"/>
      <c r="T180" s="423"/>
      <c r="U180" s="423"/>
      <c r="V180" s="423"/>
      <c r="W180" s="423"/>
      <c r="X180" s="423"/>
      <c r="Y180" s="423"/>
      <c r="Z180" s="423"/>
      <c r="AA180" s="423"/>
      <c r="AB180" s="423"/>
      <c r="AC180" s="423"/>
      <c r="AD180" s="423"/>
      <c r="AE180" s="423"/>
      <c r="AF180" s="423"/>
      <c r="AG180" s="423"/>
      <c r="AH180" s="423"/>
    </row>
    <row r="181" spans="1:34">
      <c r="A181" s="423"/>
      <c r="B181" s="423"/>
      <c r="C181" s="423"/>
      <c r="D181" s="423"/>
      <c r="E181" s="423"/>
      <c r="F181" s="423"/>
      <c r="G181" s="423"/>
      <c r="H181" s="423"/>
      <c r="I181" s="423"/>
      <c r="J181" s="423"/>
      <c r="K181" s="423"/>
      <c r="L181" s="423"/>
      <c r="M181" s="423"/>
      <c r="N181" s="423"/>
      <c r="O181" s="423"/>
      <c r="P181" s="423"/>
      <c r="Q181" s="423"/>
      <c r="R181" s="423"/>
      <c r="S181" s="423"/>
      <c r="T181" s="423"/>
      <c r="U181" s="423"/>
      <c r="V181" s="423"/>
      <c r="W181" s="423"/>
      <c r="X181" s="423"/>
      <c r="Y181" s="423"/>
      <c r="Z181" s="423"/>
      <c r="AA181" s="423"/>
      <c r="AB181" s="423"/>
      <c r="AC181" s="423"/>
      <c r="AD181" s="423"/>
      <c r="AE181" s="423"/>
      <c r="AF181" s="423"/>
      <c r="AG181" s="423"/>
      <c r="AH181" s="423"/>
    </row>
    <row r="182" spans="1:34">
      <c r="A182" s="423"/>
      <c r="B182" s="423"/>
      <c r="C182" s="423"/>
      <c r="D182" s="423"/>
      <c r="E182" s="423"/>
      <c r="F182" s="423"/>
      <c r="G182" s="423"/>
      <c r="H182" s="423"/>
      <c r="I182" s="423"/>
      <c r="J182" s="423"/>
      <c r="K182" s="423"/>
      <c r="L182" s="423"/>
      <c r="M182" s="423"/>
      <c r="N182" s="423"/>
      <c r="O182" s="423"/>
      <c r="P182" s="423"/>
      <c r="Q182" s="423"/>
      <c r="R182" s="423"/>
      <c r="S182" s="423"/>
      <c r="T182" s="423"/>
      <c r="U182" s="423"/>
      <c r="V182" s="423"/>
      <c r="W182" s="423"/>
      <c r="X182" s="423"/>
      <c r="Y182" s="423"/>
      <c r="Z182" s="423"/>
      <c r="AA182" s="423"/>
      <c r="AB182" s="423"/>
      <c r="AC182" s="423"/>
      <c r="AD182" s="423"/>
      <c r="AE182" s="423"/>
      <c r="AF182" s="423"/>
      <c r="AG182" s="423"/>
      <c r="AH182" s="423"/>
    </row>
    <row r="183" spans="1:34">
      <c r="A183" s="423"/>
      <c r="B183" s="423"/>
      <c r="C183" s="423"/>
      <c r="D183" s="423"/>
      <c r="E183" s="423"/>
      <c r="F183" s="423"/>
      <c r="G183" s="423"/>
      <c r="H183" s="423"/>
      <c r="I183" s="423"/>
      <c r="J183" s="423"/>
      <c r="K183" s="423"/>
      <c r="L183" s="423"/>
      <c r="M183" s="423"/>
      <c r="N183" s="423"/>
      <c r="O183" s="423"/>
      <c r="P183" s="423"/>
      <c r="Q183" s="423"/>
      <c r="R183" s="423"/>
      <c r="S183" s="423"/>
      <c r="T183" s="423"/>
      <c r="U183" s="423"/>
      <c r="V183" s="423"/>
      <c r="W183" s="423"/>
      <c r="X183" s="423"/>
      <c r="Y183" s="423"/>
      <c r="Z183" s="423"/>
      <c r="AA183" s="423"/>
      <c r="AB183" s="423"/>
      <c r="AC183" s="423"/>
      <c r="AD183" s="423"/>
      <c r="AE183" s="423"/>
      <c r="AF183" s="423"/>
      <c r="AG183" s="423"/>
      <c r="AH183" s="423"/>
    </row>
    <row r="184" spans="1:34">
      <c r="A184" s="423"/>
      <c r="B184" s="423"/>
      <c r="C184" s="423"/>
      <c r="D184" s="423"/>
      <c r="E184" s="423"/>
      <c r="F184" s="423"/>
      <c r="G184" s="423"/>
      <c r="H184" s="423"/>
      <c r="I184" s="423"/>
      <c r="J184" s="423"/>
      <c r="K184" s="423"/>
      <c r="L184" s="423"/>
      <c r="M184" s="423"/>
      <c r="N184" s="423"/>
      <c r="O184" s="423"/>
      <c r="P184" s="423"/>
      <c r="Q184" s="423"/>
      <c r="R184" s="423"/>
      <c r="S184" s="423"/>
      <c r="T184" s="423"/>
      <c r="U184" s="423"/>
      <c r="V184" s="423"/>
      <c r="W184" s="423"/>
      <c r="X184" s="423"/>
      <c r="Y184" s="423"/>
      <c r="Z184" s="423"/>
      <c r="AA184" s="423"/>
      <c r="AB184" s="423"/>
      <c r="AC184" s="423"/>
      <c r="AD184" s="423"/>
      <c r="AE184" s="423"/>
      <c r="AF184" s="423"/>
      <c r="AG184" s="423"/>
      <c r="AH184" s="423"/>
    </row>
    <row r="185" spans="1:34">
      <c r="A185" s="423"/>
      <c r="B185" s="423"/>
      <c r="C185" s="423"/>
      <c r="D185" s="423"/>
      <c r="E185" s="423"/>
      <c r="F185" s="423"/>
      <c r="G185" s="423"/>
      <c r="H185" s="423"/>
      <c r="I185" s="423"/>
      <c r="J185" s="423"/>
      <c r="K185" s="423"/>
      <c r="L185" s="423"/>
      <c r="M185" s="423"/>
      <c r="N185" s="423"/>
      <c r="O185" s="423"/>
      <c r="P185" s="423"/>
      <c r="Q185" s="423"/>
      <c r="R185" s="423"/>
      <c r="S185" s="423"/>
      <c r="T185" s="423"/>
      <c r="U185" s="423"/>
      <c r="V185" s="423"/>
      <c r="W185" s="423"/>
      <c r="X185" s="423"/>
      <c r="Y185" s="423"/>
      <c r="Z185" s="423"/>
      <c r="AA185" s="423"/>
      <c r="AB185" s="423"/>
      <c r="AC185" s="423"/>
      <c r="AD185" s="423"/>
      <c r="AE185" s="423"/>
      <c r="AF185" s="423"/>
      <c r="AG185" s="423"/>
      <c r="AH185" s="423"/>
    </row>
    <row r="186" spans="1:34">
      <c r="A186" s="423"/>
      <c r="B186" s="423"/>
      <c r="C186" s="423"/>
      <c r="D186" s="423"/>
      <c r="E186" s="423"/>
      <c r="F186" s="423"/>
      <c r="G186" s="423"/>
      <c r="H186" s="423"/>
      <c r="I186" s="423"/>
      <c r="J186" s="423"/>
      <c r="K186" s="423"/>
      <c r="L186" s="423"/>
      <c r="M186" s="423"/>
      <c r="N186" s="423"/>
      <c r="O186" s="423"/>
      <c r="P186" s="423"/>
      <c r="Q186" s="423"/>
      <c r="R186" s="423"/>
      <c r="S186" s="423"/>
      <c r="T186" s="423"/>
      <c r="U186" s="423"/>
      <c r="V186" s="423"/>
      <c r="W186" s="423"/>
      <c r="X186" s="423"/>
      <c r="Y186" s="423"/>
      <c r="Z186" s="423"/>
      <c r="AA186" s="423"/>
      <c r="AB186" s="423"/>
      <c r="AC186" s="423"/>
      <c r="AD186" s="423"/>
      <c r="AE186" s="423"/>
      <c r="AF186" s="423"/>
      <c r="AG186" s="423"/>
      <c r="AH186" s="423"/>
    </row>
    <row r="187" spans="1:34">
      <c r="A187" s="423"/>
      <c r="B187" s="423"/>
      <c r="C187" s="423"/>
      <c r="D187" s="423"/>
      <c r="E187" s="423"/>
      <c r="F187" s="423"/>
      <c r="G187" s="423"/>
      <c r="H187" s="423"/>
      <c r="I187" s="423"/>
      <c r="J187" s="423"/>
      <c r="K187" s="423"/>
      <c r="L187" s="423"/>
      <c r="M187" s="423"/>
      <c r="N187" s="423"/>
      <c r="O187" s="423"/>
      <c r="P187" s="423"/>
      <c r="Q187" s="423"/>
      <c r="R187" s="423"/>
      <c r="S187" s="423"/>
      <c r="T187" s="423"/>
      <c r="U187" s="423"/>
      <c r="V187" s="423"/>
      <c r="W187" s="423"/>
      <c r="X187" s="423"/>
      <c r="Y187" s="423"/>
      <c r="Z187" s="423"/>
      <c r="AA187" s="423"/>
      <c r="AB187" s="423"/>
      <c r="AC187" s="423"/>
      <c r="AD187" s="423"/>
      <c r="AE187" s="423"/>
      <c r="AF187" s="423"/>
      <c r="AG187" s="423"/>
      <c r="AH187" s="423"/>
    </row>
    <row r="188" spans="1:34">
      <c r="A188" s="423"/>
      <c r="B188" s="423"/>
      <c r="C188" s="423"/>
      <c r="D188" s="423"/>
      <c r="E188" s="423"/>
      <c r="F188" s="423"/>
      <c r="G188" s="423"/>
      <c r="H188" s="423"/>
      <c r="I188" s="423"/>
      <c r="J188" s="423"/>
      <c r="K188" s="423"/>
      <c r="L188" s="423"/>
      <c r="M188" s="423"/>
      <c r="N188" s="423"/>
      <c r="O188" s="423"/>
      <c r="P188" s="423"/>
      <c r="Q188" s="423"/>
      <c r="R188" s="423"/>
      <c r="S188" s="423"/>
      <c r="T188" s="423"/>
      <c r="U188" s="423"/>
      <c r="V188" s="423"/>
      <c r="W188" s="423"/>
      <c r="X188" s="423"/>
      <c r="Y188" s="423"/>
      <c r="Z188" s="423"/>
      <c r="AA188" s="423"/>
      <c r="AB188" s="423"/>
      <c r="AC188" s="423"/>
      <c r="AD188" s="423"/>
      <c r="AE188" s="423"/>
      <c r="AF188" s="423"/>
      <c r="AG188" s="423"/>
      <c r="AH188" s="423"/>
    </row>
    <row r="189" spans="1:34">
      <c r="A189" s="423"/>
      <c r="B189" s="423"/>
      <c r="C189" s="423"/>
      <c r="D189" s="423"/>
      <c r="E189" s="423"/>
      <c r="F189" s="423"/>
      <c r="G189" s="423"/>
      <c r="H189" s="423"/>
      <c r="I189" s="423"/>
      <c r="J189" s="423"/>
      <c r="K189" s="423"/>
      <c r="L189" s="423"/>
      <c r="M189" s="423"/>
      <c r="N189" s="423"/>
      <c r="O189" s="423"/>
      <c r="P189" s="423"/>
      <c r="Q189" s="423"/>
      <c r="R189" s="423"/>
      <c r="S189" s="423"/>
      <c r="T189" s="423"/>
      <c r="U189" s="423"/>
      <c r="V189" s="423"/>
      <c r="W189" s="423"/>
      <c r="X189" s="423"/>
      <c r="Y189" s="423"/>
      <c r="Z189" s="423"/>
      <c r="AA189" s="423"/>
      <c r="AB189" s="423"/>
      <c r="AC189" s="423"/>
      <c r="AD189" s="423"/>
      <c r="AE189" s="423"/>
      <c r="AF189" s="423"/>
      <c r="AG189" s="423"/>
      <c r="AH189" s="423"/>
    </row>
    <row r="190" spans="1:34">
      <c r="A190" s="423"/>
      <c r="B190" s="423"/>
      <c r="C190" s="423"/>
      <c r="D190" s="423"/>
      <c r="E190" s="423"/>
      <c r="F190" s="423"/>
      <c r="G190" s="423"/>
      <c r="H190" s="423"/>
      <c r="I190" s="423"/>
      <c r="J190" s="423"/>
      <c r="K190" s="423"/>
      <c r="L190" s="423"/>
      <c r="M190" s="423"/>
      <c r="N190" s="423"/>
      <c r="O190" s="423"/>
      <c r="P190" s="423"/>
      <c r="Q190" s="423"/>
      <c r="R190" s="423"/>
      <c r="S190" s="423"/>
      <c r="T190" s="423"/>
      <c r="U190" s="423"/>
      <c r="V190" s="423"/>
      <c r="W190" s="423"/>
      <c r="X190" s="423"/>
      <c r="Y190" s="423"/>
      <c r="Z190" s="423"/>
      <c r="AA190" s="423"/>
      <c r="AB190" s="423"/>
      <c r="AC190" s="423"/>
      <c r="AD190" s="423"/>
      <c r="AE190" s="423"/>
      <c r="AF190" s="423"/>
      <c r="AG190" s="423"/>
      <c r="AH190" s="423"/>
    </row>
    <row r="191" spans="1:34">
      <c r="A191" s="423"/>
      <c r="B191" s="423"/>
      <c r="C191" s="423"/>
      <c r="D191" s="423"/>
      <c r="E191" s="423"/>
      <c r="F191" s="423"/>
      <c r="G191" s="423"/>
      <c r="H191" s="423"/>
      <c r="I191" s="423"/>
      <c r="J191" s="423"/>
      <c r="K191" s="423"/>
      <c r="L191" s="423"/>
      <c r="M191" s="423"/>
      <c r="N191" s="423"/>
      <c r="O191" s="423"/>
      <c r="P191" s="423"/>
      <c r="Q191" s="423"/>
      <c r="R191" s="423"/>
      <c r="S191" s="423"/>
      <c r="T191" s="423"/>
      <c r="U191" s="423"/>
      <c r="V191" s="423"/>
      <c r="W191" s="423"/>
      <c r="X191" s="423"/>
      <c r="Y191" s="423"/>
      <c r="Z191" s="423"/>
      <c r="AA191" s="423"/>
      <c r="AB191" s="423"/>
      <c r="AC191" s="423"/>
      <c r="AD191" s="423"/>
      <c r="AE191" s="423"/>
      <c r="AF191" s="423"/>
      <c r="AG191" s="423"/>
      <c r="AH191" s="423"/>
    </row>
    <row r="192" spans="1:34">
      <c r="A192" s="423"/>
      <c r="B192" s="423"/>
      <c r="C192" s="423"/>
      <c r="D192" s="423"/>
      <c r="E192" s="423"/>
      <c r="F192" s="423"/>
      <c r="G192" s="423"/>
      <c r="H192" s="423"/>
      <c r="I192" s="423"/>
      <c r="J192" s="423"/>
      <c r="K192" s="423"/>
      <c r="L192" s="423"/>
      <c r="M192" s="423"/>
      <c r="N192" s="423"/>
      <c r="O192" s="423"/>
      <c r="P192" s="423"/>
      <c r="Q192" s="423"/>
      <c r="R192" s="423"/>
      <c r="S192" s="423"/>
      <c r="T192" s="423"/>
      <c r="U192" s="423"/>
      <c r="V192" s="423"/>
      <c r="W192" s="423"/>
      <c r="X192" s="423"/>
      <c r="Y192" s="423"/>
      <c r="Z192" s="423"/>
      <c r="AA192" s="423"/>
      <c r="AB192" s="423"/>
      <c r="AC192" s="423"/>
      <c r="AD192" s="423"/>
      <c r="AE192" s="423"/>
      <c r="AF192" s="423"/>
      <c r="AG192" s="423"/>
      <c r="AH192" s="423"/>
    </row>
    <row r="193" spans="1:34">
      <c r="A193" s="423"/>
      <c r="B193" s="423"/>
      <c r="C193" s="423"/>
      <c r="D193" s="423"/>
      <c r="E193" s="423"/>
      <c r="F193" s="423"/>
      <c r="G193" s="423"/>
      <c r="H193" s="423"/>
      <c r="I193" s="423"/>
      <c r="J193" s="423"/>
      <c r="K193" s="423"/>
      <c r="L193" s="423"/>
      <c r="M193" s="423"/>
      <c r="N193" s="423"/>
      <c r="O193" s="423"/>
      <c r="P193" s="423"/>
      <c r="Q193" s="423"/>
      <c r="R193" s="423"/>
      <c r="S193" s="423"/>
      <c r="T193" s="423"/>
      <c r="U193" s="423"/>
      <c r="V193" s="423"/>
      <c r="W193" s="423"/>
      <c r="X193" s="423"/>
      <c r="Y193" s="423"/>
      <c r="Z193" s="423"/>
      <c r="AA193" s="423"/>
      <c r="AB193" s="423"/>
      <c r="AC193" s="423"/>
      <c r="AD193" s="423"/>
      <c r="AE193" s="423"/>
      <c r="AF193" s="423"/>
      <c r="AG193" s="423"/>
      <c r="AH193" s="423"/>
    </row>
    <row r="194" spans="1:34">
      <c r="A194" s="423"/>
      <c r="B194" s="423"/>
      <c r="C194" s="423"/>
      <c r="D194" s="423"/>
      <c r="E194" s="423"/>
      <c r="F194" s="423"/>
      <c r="G194" s="423"/>
      <c r="H194" s="423"/>
      <c r="I194" s="423"/>
      <c r="J194" s="423"/>
      <c r="K194" s="423"/>
      <c r="L194" s="423"/>
      <c r="M194" s="423"/>
      <c r="N194" s="423"/>
      <c r="O194" s="423"/>
      <c r="P194" s="423"/>
      <c r="Q194" s="423"/>
      <c r="R194" s="423"/>
      <c r="S194" s="423"/>
      <c r="T194" s="423"/>
      <c r="U194" s="423"/>
      <c r="V194" s="423"/>
      <c r="W194" s="423"/>
      <c r="X194" s="423"/>
      <c r="Y194" s="423"/>
      <c r="Z194" s="423"/>
      <c r="AA194" s="423"/>
      <c r="AB194" s="423"/>
      <c r="AC194" s="423"/>
      <c r="AD194" s="423"/>
      <c r="AE194" s="423"/>
      <c r="AF194" s="423"/>
      <c r="AG194" s="423"/>
      <c r="AH194" s="423"/>
    </row>
    <row r="195" spans="1:34">
      <c r="A195" s="423"/>
      <c r="B195" s="423"/>
      <c r="C195" s="423"/>
      <c r="D195" s="423"/>
      <c r="E195" s="423"/>
      <c r="F195" s="423"/>
      <c r="G195" s="423"/>
      <c r="H195" s="423"/>
      <c r="I195" s="423"/>
      <c r="J195" s="423"/>
      <c r="K195" s="423"/>
      <c r="L195" s="423"/>
      <c r="M195" s="423"/>
      <c r="N195" s="423"/>
      <c r="O195" s="423"/>
      <c r="P195" s="423"/>
      <c r="Q195" s="423"/>
      <c r="R195" s="423"/>
      <c r="S195" s="423"/>
      <c r="T195" s="423"/>
      <c r="U195" s="423"/>
      <c r="V195" s="423"/>
      <c r="W195" s="423"/>
      <c r="X195" s="423"/>
      <c r="Y195" s="423"/>
      <c r="Z195" s="423"/>
      <c r="AA195" s="423"/>
      <c r="AB195" s="423"/>
      <c r="AC195" s="423"/>
      <c r="AD195" s="423"/>
      <c r="AE195" s="423"/>
      <c r="AF195" s="423"/>
      <c r="AG195" s="423"/>
      <c r="AH195" s="423"/>
    </row>
    <row r="196" spans="1:34">
      <c r="A196" s="423"/>
      <c r="B196" s="423"/>
      <c r="C196" s="423"/>
      <c r="D196" s="423"/>
      <c r="E196" s="423"/>
      <c r="F196" s="423"/>
      <c r="G196" s="423"/>
      <c r="H196" s="423"/>
      <c r="I196" s="423"/>
      <c r="J196" s="423"/>
      <c r="K196" s="423"/>
      <c r="L196" s="423"/>
      <c r="M196" s="423"/>
      <c r="N196" s="423"/>
      <c r="O196" s="423"/>
      <c r="P196" s="423"/>
      <c r="Q196" s="423"/>
      <c r="R196" s="423"/>
      <c r="S196" s="423"/>
      <c r="T196" s="423"/>
      <c r="U196" s="423"/>
      <c r="V196" s="423"/>
      <c r="W196" s="423"/>
      <c r="X196" s="423"/>
      <c r="Y196" s="423"/>
      <c r="Z196" s="423"/>
      <c r="AA196" s="423"/>
      <c r="AB196" s="423"/>
      <c r="AC196" s="423"/>
      <c r="AD196" s="423"/>
      <c r="AE196" s="423"/>
      <c r="AF196" s="423"/>
      <c r="AG196" s="423"/>
      <c r="AH196" s="423"/>
    </row>
    <row r="197" spans="1:34">
      <c r="A197" s="423"/>
      <c r="B197" s="423"/>
      <c r="C197" s="423"/>
      <c r="D197" s="423"/>
      <c r="E197" s="423"/>
      <c r="F197" s="423"/>
      <c r="G197" s="423"/>
      <c r="H197" s="423"/>
      <c r="I197" s="423"/>
      <c r="J197" s="423"/>
      <c r="K197" s="423"/>
      <c r="L197" s="423"/>
      <c r="M197" s="423"/>
      <c r="N197" s="423"/>
      <c r="O197" s="423"/>
      <c r="P197" s="423"/>
      <c r="Q197" s="423"/>
      <c r="R197" s="423"/>
      <c r="S197" s="423"/>
      <c r="T197" s="423"/>
      <c r="U197" s="423"/>
      <c r="V197" s="423"/>
      <c r="W197" s="423"/>
      <c r="X197" s="423"/>
      <c r="Y197" s="423"/>
      <c r="Z197" s="423"/>
      <c r="AA197" s="423"/>
      <c r="AB197" s="423"/>
      <c r="AC197" s="423"/>
      <c r="AD197" s="423"/>
      <c r="AE197" s="423"/>
      <c r="AF197" s="423"/>
      <c r="AG197" s="423"/>
      <c r="AH197" s="423"/>
    </row>
    <row r="198" spans="1:34">
      <c r="A198" s="423"/>
      <c r="B198" s="423"/>
      <c r="C198" s="423"/>
      <c r="D198" s="423"/>
      <c r="E198" s="423"/>
      <c r="F198" s="423"/>
      <c r="G198" s="423"/>
      <c r="H198" s="423"/>
      <c r="I198" s="423"/>
      <c r="J198" s="423"/>
      <c r="K198" s="423"/>
      <c r="L198" s="423"/>
      <c r="M198" s="423"/>
      <c r="N198" s="423"/>
      <c r="O198" s="423"/>
      <c r="P198" s="423"/>
      <c r="Q198" s="423"/>
      <c r="R198" s="423"/>
      <c r="S198" s="423"/>
      <c r="T198" s="423"/>
      <c r="U198" s="423"/>
      <c r="V198" s="423"/>
      <c r="W198" s="423"/>
      <c r="X198" s="423"/>
      <c r="Y198" s="423"/>
      <c r="Z198" s="423"/>
      <c r="AA198" s="423"/>
      <c r="AB198" s="423"/>
      <c r="AC198" s="423"/>
      <c r="AD198" s="423"/>
      <c r="AE198" s="423"/>
      <c r="AF198" s="423"/>
      <c r="AG198" s="423"/>
      <c r="AH198" s="423"/>
    </row>
    <row r="199" spans="1:34">
      <c r="A199" s="423"/>
      <c r="B199" s="423"/>
      <c r="C199" s="423"/>
      <c r="D199" s="423"/>
      <c r="E199" s="423"/>
      <c r="F199" s="423"/>
      <c r="G199" s="423"/>
      <c r="H199" s="423"/>
      <c r="I199" s="423"/>
      <c r="J199" s="423"/>
      <c r="K199" s="423"/>
      <c r="L199" s="423"/>
      <c r="M199" s="423"/>
      <c r="N199" s="423"/>
      <c r="O199" s="423"/>
      <c r="P199" s="423"/>
      <c r="Q199" s="423"/>
      <c r="R199" s="423"/>
      <c r="S199" s="423"/>
      <c r="T199" s="423"/>
      <c r="U199" s="423"/>
      <c r="V199" s="423"/>
      <c r="W199" s="423"/>
      <c r="X199" s="423"/>
      <c r="Y199" s="423"/>
      <c r="Z199" s="423"/>
      <c r="AA199" s="423"/>
      <c r="AB199" s="423"/>
      <c r="AC199" s="423"/>
      <c r="AD199" s="423"/>
      <c r="AE199" s="423"/>
      <c r="AF199" s="423"/>
      <c r="AG199" s="423"/>
      <c r="AH199" s="423"/>
    </row>
    <row r="200" spans="1:34">
      <c r="A200" s="423"/>
      <c r="B200" s="423"/>
      <c r="C200" s="423"/>
      <c r="D200" s="423"/>
      <c r="E200" s="423"/>
      <c r="F200" s="423"/>
      <c r="G200" s="423"/>
      <c r="H200" s="423"/>
      <c r="I200" s="423"/>
      <c r="J200" s="423"/>
      <c r="K200" s="423"/>
      <c r="L200" s="423"/>
      <c r="M200" s="423"/>
      <c r="N200" s="423"/>
      <c r="O200" s="423"/>
      <c r="P200" s="423"/>
      <c r="Q200" s="423"/>
      <c r="R200" s="423"/>
      <c r="S200" s="423"/>
      <c r="T200" s="423"/>
      <c r="U200" s="423"/>
      <c r="V200" s="423"/>
      <c r="W200" s="423"/>
      <c r="X200" s="423"/>
      <c r="Y200" s="423"/>
      <c r="Z200" s="423"/>
      <c r="AA200" s="423"/>
      <c r="AB200" s="423"/>
      <c r="AC200" s="423"/>
      <c r="AD200" s="423"/>
      <c r="AE200" s="423"/>
      <c r="AF200" s="423"/>
      <c r="AG200" s="423"/>
      <c r="AH200" s="423"/>
    </row>
    <row r="201" spans="1:34">
      <c r="A201" s="423"/>
      <c r="B201" s="423"/>
      <c r="C201" s="423"/>
      <c r="D201" s="423"/>
      <c r="E201" s="423"/>
      <c r="F201" s="423"/>
      <c r="G201" s="423"/>
      <c r="H201" s="423"/>
      <c r="I201" s="423"/>
      <c r="J201" s="423"/>
      <c r="K201" s="423"/>
      <c r="L201" s="423"/>
      <c r="M201" s="423"/>
      <c r="N201" s="423"/>
      <c r="O201" s="423"/>
      <c r="P201" s="423"/>
      <c r="Q201" s="423"/>
      <c r="R201" s="423"/>
      <c r="S201" s="423"/>
      <c r="T201" s="423"/>
      <c r="U201" s="423"/>
      <c r="V201" s="423"/>
      <c r="W201" s="423"/>
      <c r="X201" s="423"/>
      <c r="Y201" s="423"/>
      <c r="Z201" s="423"/>
      <c r="AA201" s="423"/>
      <c r="AB201" s="423"/>
      <c r="AC201" s="423"/>
      <c r="AD201" s="423"/>
      <c r="AE201" s="423"/>
      <c r="AF201" s="423"/>
      <c r="AG201" s="423"/>
      <c r="AH201" s="423"/>
    </row>
    <row r="202" spans="1:34">
      <c r="A202" s="423"/>
      <c r="B202" s="423"/>
      <c r="C202" s="423"/>
      <c r="D202" s="423"/>
      <c r="E202" s="423"/>
      <c r="F202" s="423"/>
      <c r="G202" s="423"/>
      <c r="H202" s="423"/>
      <c r="I202" s="423"/>
      <c r="J202" s="423"/>
      <c r="K202" s="423"/>
      <c r="L202" s="423"/>
      <c r="M202" s="423"/>
      <c r="N202" s="423"/>
      <c r="O202" s="423"/>
      <c r="P202" s="423"/>
      <c r="Q202" s="423"/>
      <c r="R202" s="423"/>
      <c r="S202" s="423"/>
      <c r="T202" s="423"/>
      <c r="U202" s="423"/>
      <c r="V202" s="423"/>
      <c r="W202" s="423"/>
      <c r="X202" s="423"/>
      <c r="Y202" s="423"/>
      <c r="Z202" s="423"/>
      <c r="AA202" s="423"/>
      <c r="AB202" s="423"/>
      <c r="AC202" s="423"/>
      <c r="AD202" s="423"/>
      <c r="AE202" s="423"/>
      <c r="AF202" s="423"/>
      <c r="AG202" s="423"/>
      <c r="AH202" s="423"/>
    </row>
    <row r="203" spans="1:34">
      <c r="A203" s="423"/>
      <c r="B203" s="423"/>
      <c r="C203" s="423"/>
      <c r="D203" s="423"/>
      <c r="E203" s="423"/>
      <c r="F203" s="423"/>
      <c r="G203" s="423"/>
      <c r="H203" s="423"/>
      <c r="I203" s="423"/>
      <c r="J203" s="423"/>
      <c r="K203" s="423"/>
      <c r="L203" s="423"/>
      <c r="M203" s="423"/>
      <c r="N203" s="423"/>
      <c r="O203" s="423"/>
      <c r="P203" s="423"/>
      <c r="Q203" s="423"/>
      <c r="R203" s="423"/>
      <c r="S203" s="423"/>
      <c r="T203" s="423"/>
      <c r="U203" s="423"/>
      <c r="V203" s="423"/>
      <c r="W203" s="423"/>
      <c r="X203" s="423"/>
      <c r="Y203" s="423"/>
      <c r="Z203" s="423"/>
      <c r="AA203" s="423"/>
      <c r="AB203" s="423"/>
      <c r="AC203" s="423"/>
      <c r="AD203" s="423"/>
      <c r="AE203" s="423"/>
      <c r="AF203" s="423"/>
      <c r="AG203" s="423"/>
      <c r="AH203" s="423"/>
    </row>
    <row r="204" spans="1:34">
      <c r="A204" s="423"/>
      <c r="B204" s="423"/>
      <c r="C204" s="423"/>
      <c r="D204" s="423"/>
      <c r="E204" s="423"/>
      <c r="F204" s="423"/>
      <c r="G204" s="423"/>
      <c r="H204" s="423"/>
      <c r="I204" s="423"/>
      <c r="J204" s="423"/>
      <c r="K204" s="423"/>
      <c r="L204" s="423"/>
      <c r="M204" s="423"/>
      <c r="N204" s="423"/>
      <c r="O204" s="423"/>
      <c r="P204" s="423"/>
      <c r="Q204" s="423"/>
      <c r="R204" s="423"/>
      <c r="S204" s="423"/>
      <c r="T204" s="423"/>
      <c r="U204" s="423"/>
      <c r="V204" s="423"/>
      <c r="W204" s="423"/>
      <c r="X204" s="423"/>
      <c r="Y204" s="423"/>
      <c r="Z204" s="423"/>
      <c r="AA204" s="423"/>
      <c r="AB204" s="423"/>
      <c r="AC204" s="423"/>
      <c r="AD204" s="423"/>
      <c r="AE204" s="423"/>
      <c r="AF204" s="423"/>
      <c r="AG204" s="423"/>
      <c r="AH204" s="423"/>
    </row>
    <row r="205" spans="1:34">
      <c r="A205" s="423"/>
      <c r="B205" s="423"/>
      <c r="C205" s="423"/>
      <c r="D205" s="423"/>
      <c r="E205" s="423"/>
      <c r="F205" s="423"/>
      <c r="G205" s="423"/>
      <c r="H205" s="423"/>
      <c r="I205" s="423"/>
      <c r="J205" s="423"/>
      <c r="K205" s="423"/>
      <c r="L205" s="423"/>
      <c r="M205" s="423"/>
      <c r="N205" s="423"/>
      <c r="O205" s="423"/>
      <c r="P205" s="423"/>
      <c r="Q205" s="423"/>
      <c r="R205" s="423"/>
      <c r="S205" s="423"/>
      <c r="T205" s="423"/>
      <c r="U205" s="423"/>
      <c r="V205" s="423"/>
      <c r="W205" s="423"/>
      <c r="X205" s="423"/>
      <c r="Y205" s="423"/>
      <c r="Z205" s="423"/>
      <c r="AA205" s="423"/>
      <c r="AB205" s="423"/>
      <c r="AC205" s="423"/>
      <c r="AD205" s="423"/>
      <c r="AE205" s="423"/>
      <c r="AF205" s="423"/>
      <c r="AG205" s="423"/>
      <c r="AH205" s="423"/>
    </row>
    <row r="206" spans="1:34">
      <c r="A206" s="423"/>
      <c r="B206" s="423"/>
      <c r="C206" s="423"/>
      <c r="D206" s="423"/>
      <c r="E206" s="423"/>
      <c r="F206" s="423"/>
      <c r="G206" s="423"/>
      <c r="H206" s="423"/>
      <c r="I206" s="423"/>
      <c r="J206" s="423"/>
      <c r="K206" s="423"/>
      <c r="L206" s="423"/>
      <c r="M206" s="423"/>
      <c r="N206" s="423"/>
      <c r="O206" s="423"/>
      <c r="P206" s="423"/>
      <c r="Q206" s="423"/>
      <c r="R206" s="423"/>
      <c r="S206" s="423"/>
      <c r="T206" s="423"/>
      <c r="U206" s="423"/>
      <c r="V206" s="423"/>
      <c r="W206" s="423"/>
      <c r="X206" s="423"/>
      <c r="Y206" s="423"/>
      <c r="Z206" s="423"/>
      <c r="AA206" s="423"/>
      <c r="AB206" s="423"/>
      <c r="AC206" s="423"/>
      <c r="AD206" s="423"/>
      <c r="AE206" s="423"/>
      <c r="AF206" s="423"/>
      <c r="AG206" s="423"/>
      <c r="AH206" s="423"/>
    </row>
    <row r="207" spans="1:34">
      <c r="A207" s="423"/>
      <c r="B207" s="423"/>
      <c r="C207" s="423"/>
      <c r="D207" s="423"/>
      <c r="E207" s="423"/>
      <c r="F207" s="423"/>
      <c r="G207" s="423"/>
      <c r="H207" s="423"/>
      <c r="I207" s="423"/>
      <c r="J207" s="423"/>
      <c r="K207" s="423"/>
      <c r="L207" s="423"/>
      <c r="M207" s="423"/>
      <c r="N207" s="423"/>
      <c r="O207" s="423"/>
      <c r="P207" s="423"/>
      <c r="Q207" s="423"/>
      <c r="R207" s="423"/>
      <c r="S207" s="423"/>
      <c r="T207" s="423"/>
      <c r="U207" s="423"/>
      <c r="V207" s="423"/>
      <c r="W207" s="423"/>
      <c r="X207" s="423"/>
      <c r="Y207" s="423"/>
      <c r="Z207" s="423"/>
      <c r="AA207" s="423"/>
      <c r="AB207" s="423"/>
      <c r="AC207" s="423"/>
      <c r="AD207" s="423"/>
      <c r="AE207" s="423"/>
      <c r="AF207" s="423"/>
      <c r="AG207" s="423"/>
      <c r="AH207" s="423"/>
    </row>
    <row r="208" spans="1:34">
      <c r="A208" s="423"/>
      <c r="B208" s="423"/>
      <c r="C208" s="423"/>
      <c r="D208" s="423"/>
      <c r="E208" s="423"/>
      <c r="F208" s="423"/>
      <c r="G208" s="423"/>
      <c r="H208" s="423"/>
      <c r="I208" s="423"/>
      <c r="J208" s="423"/>
      <c r="K208" s="423"/>
      <c r="L208" s="423"/>
      <c r="M208" s="423"/>
      <c r="N208" s="423"/>
      <c r="O208" s="423"/>
      <c r="P208" s="423"/>
      <c r="Q208" s="423"/>
      <c r="R208" s="423"/>
      <c r="S208" s="423"/>
      <c r="T208" s="423"/>
      <c r="U208" s="423"/>
      <c r="V208" s="423"/>
      <c r="W208" s="423"/>
      <c r="X208" s="423"/>
      <c r="Y208" s="423"/>
      <c r="Z208" s="423"/>
      <c r="AA208" s="423"/>
      <c r="AB208" s="423"/>
      <c r="AC208" s="423"/>
      <c r="AD208" s="423"/>
      <c r="AE208" s="423"/>
      <c r="AF208" s="423"/>
      <c r="AG208" s="423"/>
      <c r="AH208" s="423"/>
    </row>
    <row r="209" spans="1:34">
      <c r="A209" s="423"/>
      <c r="B209" s="423"/>
      <c r="C209" s="423"/>
      <c r="D209" s="423"/>
      <c r="E209" s="423"/>
      <c r="F209" s="423"/>
      <c r="G209" s="423"/>
      <c r="H209" s="423"/>
      <c r="I209" s="423"/>
      <c r="J209" s="423"/>
      <c r="K209" s="423"/>
      <c r="L209" s="423"/>
      <c r="M209" s="423"/>
      <c r="N209" s="423"/>
      <c r="O209" s="423"/>
      <c r="P209" s="423"/>
      <c r="Q209" s="423"/>
      <c r="R209" s="423"/>
      <c r="S209" s="423"/>
      <c r="T209" s="423"/>
      <c r="U209" s="423"/>
      <c r="V209" s="423"/>
      <c r="W209" s="423"/>
      <c r="X209" s="423"/>
      <c r="Y209" s="423"/>
      <c r="Z209" s="423"/>
      <c r="AA209" s="423"/>
      <c r="AB209" s="423"/>
      <c r="AC209" s="423"/>
      <c r="AD209" s="423"/>
      <c r="AE209" s="423"/>
      <c r="AF209" s="423"/>
      <c r="AG209" s="423"/>
      <c r="AH209" s="423"/>
    </row>
    <row r="210" spans="1:34">
      <c r="A210" s="423"/>
      <c r="B210" s="423"/>
      <c r="C210" s="423"/>
      <c r="D210" s="423"/>
      <c r="E210" s="423"/>
      <c r="F210" s="423"/>
      <c r="G210" s="423"/>
      <c r="H210" s="423"/>
      <c r="I210" s="423"/>
      <c r="J210" s="423"/>
      <c r="K210" s="423"/>
      <c r="L210" s="423"/>
      <c r="M210" s="423"/>
      <c r="N210" s="423"/>
      <c r="O210" s="423"/>
      <c r="P210" s="423"/>
      <c r="Q210" s="423"/>
      <c r="R210" s="423"/>
      <c r="S210" s="423"/>
      <c r="T210" s="423"/>
      <c r="U210" s="423"/>
      <c r="V210" s="423"/>
      <c r="W210" s="423"/>
      <c r="X210" s="423"/>
      <c r="Y210" s="423"/>
      <c r="Z210" s="423"/>
      <c r="AA210" s="423"/>
      <c r="AB210" s="423"/>
      <c r="AC210" s="423"/>
      <c r="AD210" s="423"/>
      <c r="AE210" s="423"/>
      <c r="AF210" s="423"/>
      <c r="AG210" s="423"/>
      <c r="AH210" s="423"/>
    </row>
    <row r="211" spans="1:34">
      <c r="A211" s="423"/>
      <c r="B211" s="423"/>
      <c r="C211" s="423"/>
      <c r="D211" s="423"/>
      <c r="E211" s="423"/>
      <c r="F211" s="423"/>
      <c r="G211" s="423"/>
      <c r="H211" s="423"/>
      <c r="I211" s="423"/>
      <c r="J211" s="423"/>
      <c r="K211" s="423"/>
      <c r="L211" s="423"/>
      <c r="M211" s="423"/>
      <c r="N211" s="423"/>
      <c r="O211" s="423"/>
      <c r="P211" s="423"/>
      <c r="Q211" s="423"/>
      <c r="R211" s="423"/>
      <c r="S211" s="423"/>
      <c r="T211" s="423"/>
      <c r="U211" s="423"/>
      <c r="V211" s="423"/>
      <c r="W211" s="423"/>
      <c r="X211" s="423"/>
      <c r="Y211" s="423"/>
      <c r="Z211" s="423"/>
      <c r="AA211" s="423"/>
      <c r="AB211" s="423"/>
      <c r="AC211" s="423"/>
      <c r="AD211" s="423"/>
      <c r="AE211" s="423"/>
      <c r="AF211" s="423"/>
      <c r="AG211" s="423"/>
      <c r="AH211" s="423"/>
    </row>
    <row r="212" spans="1:34">
      <c r="A212" s="423"/>
      <c r="B212" s="423"/>
      <c r="C212" s="423"/>
      <c r="D212" s="423"/>
      <c r="E212" s="423"/>
      <c r="F212" s="423"/>
      <c r="G212" s="423"/>
      <c r="H212" s="423"/>
      <c r="I212" s="423"/>
      <c r="J212" s="423"/>
      <c r="K212" s="423"/>
      <c r="L212" s="423"/>
      <c r="M212" s="423"/>
      <c r="N212" s="423"/>
      <c r="O212" s="423"/>
      <c r="P212" s="423"/>
      <c r="Q212" s="423"/>
      <c r="R212" s="423"/>
      <c r="S212" s="423"/>
      <c r="T212" s="423"/>
      <c r="U212" s="423"/>
      <c r="V212" s="423"/>
      <c r="W212" s="423"/>
      <c r="X212" s="423"/>
      <c r="Y212" s="423"/>
      <c r="Z212" s="423"/>
      <c r="AA212" s="423"/>
      <c r="AB212" s="423"/>
      <c r="AC212" s="423"/>
      <c r="AD212" s="423"/>
      <c r="AE212" s="423"/>
      <c r="AF212" s="423"/>
      <c r="AG212" s="423"/>
      <c r="AH212" s="423"/>
    </row>
    <row r="213" spans="1:34">
      <c r="A213" s="423"/>
      <c r="B213" s="423"/>
      <c r="C213" s="423"/>
      <c r="D213" s="423"/>
      <c r="E213" s="423"/>
      <c r="F213" s="423"/>
      <c r="G213" s="423"/>
      <c r="H213" s="423"/>
      <c r="I213" s="423"/>
      <c r="J213" s="423"/>
      <c r="K213" s="423"/>
      <c r="L213" s="423"/>
      <c r="M213" s="423"/>
      <c r="N213" s="423"/>
      <c r="O213" s="423"/>
      <c r="P213" s="423"/>
      <c r="Q213" s="423"/>
      <c r="R213" s="423"/>
      <c r="S213" s="423"/>
      <c r="T213" s="423"/>
      <c r="U213" s="423"/>
      <c r="V213" s="423"/>
      <c r="W213" s="423"/>
      <c r="X213" s="423"/>
      <c r="Y213" s="423"/>
      <c r="Z213" s="423"/>
      <c r="AA213" s="423"/>
      <c r="AB213" s="423"/>
      <c r="AC213" s="423"/>
      <c r="AD213" s="423"/>
      <c r="AE213" s="423"/>
      <c r="AF213" s="423"/>
      <c r="AG213" s="423"/>
      <c r="AH213" s="423"/>
    </row>
    <row r="214" spans="1:34">
      <c r="A214" s="423"/>
      <c r="B214" s="423"/>
      <c r="C214" s="423"/>
      <c r="D214" s="423"/>
      <c r="E214" s="423"/>
      <c r="F214" s="423"/>
      <c r="G214" s="423"/>
      <c r="H214" s="423"/>
      <c r="I214" s="423"/>
      <c r="J214" s="423"/>
      <c r="K214" s="423"/>
      <c r="L214" s="423"/>
      <c r="M214" s="423"/>
      <c r="N214" s="423"/>
      <c r="O214" s="423"/>
      <c r="P214" s="423"/>
      <c r="Q214" s="423"/>
      <c r="R214" s="423"/>
      <c r="S214" s="423"/>
      <c r="T214" s="423"/>
      <c r="U214" s="423"/>
      <c r="V214" s="423"/>
      <c r="W214" s="423"/>
      <c r="X214" s="423"/>
      <c r="Y214" s="423"/>
      <c r="Z214" s="423"/>
      <c r="AA214" s="423"/>
      <c r="AB214" s="423"/>
      <c r="AC214" s="423"/>
      <c r="AD214" s="423"/>
      <c r="AE214" s="423"/>
      <c r="AF214" s="423"/>
      <c r="AG214" s="423"/>
      <c r="AH214" s="423"/>
    </row>
    <row r="215" spans="1:34">
      <c r="A215" s="423"/>
      <c r="B215" s="423"/>
      <c r="C215" s="423"/>
      <c r="D215" s="423"/>
      <c r="E215" s="423"/>
      <c r="F215" s="423"/>
      <c r="G215" s="423"/>
      <c r="H215" s="423"/>
      <c r="I215" s="423"/>
      <c r="J215" s="423"/>
      <c r="K215" s="423"/>
      <c r="L215" s="423"/>
      <c r="M215" s="423"/>
      <c r="N215" s="423"/>
      <c r="O215" s="423"/>
      <c r="P215" s="423"/>
      <c r="Q215" s="423"/>
      <c r="R215" s="423"/>
      <c r="S215" s="423"/>
      <c r="T215" s="423"/>
      <c r="U215" s="423"/>
      <c r="V215" s="423"/>
      <c r="W215" s="423"/>
      <c r="X215" s="423"/>
      <c r="Y215" s="423"/>
      <c r="Z215" s="423"/>
      <c r="AA215" s="423"/>
      <c r="AB215" s="423"/>
      <c r="AC215" s="423"/>
      <c r="AD215" s="423"/>
      <c r="AE215" s="423"/>
      <c r="AF215" s="423"/>
      <c r="AG215" s="423"/>
      <c r="AH215" s="423"/>
    </row>
    <row r="216" spans="1:34">
      <c r="A216" s="423"/>
      <c r="B216" s="423"/>
      <c r="C216" s="423"/>
      <c r="D216" s="423"/>
      <c r="E216" s="423"/>
      <c r="F216" s="423"/>
      <c r="G216" s="423"/>
      <c r="H216" s="423"/>
      <c r="I216" s="423"/>
      <c r="J216" s="423"/>
      <c r="K216" s="423"/>
      <c r="L216" s="423"/>
      <c r="M216" s="423"/>
      <c r="N216" s="423"/>
      <c r="O216" s="423"/>
      <c r="P216" s="423"/>
      <c r="Q216" s="423"/>
      <c r="R216" s="423"/>
      <c r="S216" s="423"/>
      <c r="T216" s="423"/>
      <c r="U216" s="423"/>
      <c r="V216" s="423"/>
      <c r="W216" s="423"/>
      <c r="X216" s="423"/>
      <c r="Y216" s="423"/>
      <c r="Z216" s="423"/>
      <c r="AA216" s="423"/>
      <c r="AB216" s="423"/>
      <c r="AC216" s="423"/>
      <c r="AD216" s="423"/>
      <c r="AE216" s="423"/>
      <c r="AF216" s="423"/>
      <c r="AG216" s="423"/>
      <c r="AH216" s="423"/>
    </row>
    <row r="217" spans="1:34">
      <c r="A217" s="423"/>
      <c r="B217" s="423"/>
      <c r="C217" s="423"/>
      <c r="D217" s="423"/>
      <c r="E217" s="423"/>
      <c r="F217" s="423"/>
      <c r="G217" s="423"/>
      <c r="H217" s="423"/>
      <c r="I217" s="423"/>
      <c r="J217" s="423"/>
      <c r="K217" s="423"/>
      <c r="L217" s="423"/>
      <c r="M217" s="423"/>
      <c r="N217" s="423"/>
      <c r="O217" s="423"/>
      <c r="P217" s="423"/>
      <c r="Q217" s="423"/>
      <c r="R217" s="423"/>
      <c r="S217" s="423"/>
      <c r="T217" s="423"/>
      <c r="U217" s="423"/>
      <c r="V217" s="423"/>
      <c r="W217" s="423"/>
      <c r="X217" s="423"/>
      <c r="Y217" s="423"/>
      <c r="Z217" s="423"/>
      <c r="AA217" s="423"/>
      <c r="AB217" s="423"/>
      <c r="AC217" s="423"/>
      <c r="AD217" s="423"/>
      <c r="AE217" s="423"/>
      <c r="AF217" s="423"/>
      <c r="AG217" s="423"/>
      <c r="AH217" s="423"/>
    </row>
    <row r="218" spans="1:34">
      <c r="A218" s="423"/>
      <c r="B218" s="423"/>
      <c r="C218" s="423"/>
      <c r="D218" s="423"/>
      <c r="E218" s="423"/>
      <c r="F218" s="423"/>
      <c r="G218" s="423"/>
      <c r="H218" s="423"/>
      <c r="I218" s="423"/>
      <c r="J218" s="423"/>
      <c r="K218" s="423"/>
      <c r="L218" s="423"/>
      <c r="M218" s="423"/>
      <c r="N218" s="423"/>
      <c r="O218" s="423"/>
      <c r="P218" s="423"/>
      <c r="Q218" s="423"/>
      <c r="R218" s="423"/>
      <c r="S218" s="423"/>
      <c r="T218" s="423"/>
      <c r="U218" s="423"/>
      <c r="V218" s="423"/>
      <c r="W218" s="423"/>
      <c r="X218" s="423"/>
      <c r="Y218" s="423"/>
      <c r="Z218" s="423"/>
      <c r="AA218" s="423"/>
      <c r="AB218" s="423"/>
      <c r="AC218" s="423"/>
      <c r="AD218" s="423"/>
      <c r="AE218" s="423"/>
      <c r="AF218" s="423"/>
      <c r="AG218" s="423"/>
      <c r="AH218" s="423"/>
    </row>
    <row r="219" spans="1:34">
      <c r="A219" s="423"/>
      <c r="B219" s="423"/>
      <c r="C219" s="423"/>
      <c r="D219" s="423"/>
      <c r="E219" s="423"/>
      <c r="F219" s="423"/>
      <c r="G219" s="423"/>
      <c r="H219" s="423"/>
      <c r="I219" s="423"/>
      <c r="J219" s="423"/>
      <c r="K219" s="423"/>
      <c r="L219" s="423"/>
      <c r="M219" s="423"/>
      <c r="N219" s="423"/>
      <c r="O219" s="423"/>
      <c r="P219" s="423"/>
      <c r="Q219" s="423"/>
      <c r="R219" s="423"/>
      <c r="S219" s="423"/>
      <c r="T219" s="423"/>
      <c r="U219" s="423"/>
      <c r="V219" s="423"/>
      <c r="W219" s="423"/>
      <c r="X219" s="423"/>
      <c r="Y219" s="423"/>
      <c r="Z219" s="423"/>
      <c r="AA219" s="423"/>
      <c r="AB219" s="423"/>
      <c r="AC219" s="423"/>
      <c r="AD219" s="423"/>
      <c r="AE219" s="423"/>
      <c r="AF219" s="423"/>
      <c r="AG219" s="423"/>
      <c r="AH219" s="423"/>
    </row>
    <row r="220" spans="1:34">
      <c r="A220" s="423"/>
      <c r="B220" s="423"/>
      <c r="C220" s="423"/>
      <c r="D220" s="423"/>
      <c r="E220" s="423"/>
      <c r="F220" s="423"/>
      <c r="G220" s="423"/>
      <c r="H220" s="423"/>
      <c r="I220" s="423"/>
      <c r="J220" s="423"/>
      <c r="K220" s="423"/>
      <c r="L220" s="423"/>
      <c r="M220" s="423"/>
      <c r="N220" s="423"/>
      <c r="O220" s="423"/>
      <c r="P220" s="423"/>
      <c r="Q220" s="423"/>
      <c r="R220" s="423"/>
      <c r="S220" s="423"/>
      <c r="T220" s="423"/>
      <c r="U220" s="423"/>
      <c r="V220" s="423"/>
      <c r="W220" s="423"/>
      <c r="X220" s="423"/>
      <c r="Y220" s="423"/>
      <c r="Z220" s="423"/>
      <c r="AA220" s="423"/>
      <c r="AB220" s="423"/>
      <c r="AC220" s="423"/>
      <c r="AD220" s="423"/>
      <c r="AE220" s="423"/>
      <c r="AF220" s="423"/>
      <c r="AG220" s="423"/>
      <c r="AH220" s="423"/>
    </row>
    <row r="221" spans="1:34">
      <c r="A221" s="423"/>
      <c r="B221" s="423"/>
      <c r="C221" s="423"/>
      <c r="D221" s="423"/>
      <c r="E221" s="423"/>
      <c r="F221" s="423"/>
      <c r="G221" s="423"/>
      <c r="H221" s="423"/>
      <c r="I221" s="423"/>
      <c r="J221" s="423"/>
      <c r="K221" s="423"/>
      <c r="L221" s="423"/>
      <c r="M221" s="423"/>
      <c r="N221" s="423"/>
      <c r="O221" s="423"/>
      <c r="P221" s="423"/>
      <c r="Q221" s="423"/>
      <c r="R221" s="423"/>
      <c r="S221" s="423"/>
      <c r="T221" s="423"/>
      <c r="U221" s="423"/>
      <c r="V221" s="423"/>
      <c r="W221" s="423"/>
      <c r="X221" s="423"/>
      <c r="Y221" s="423"/>
      <c r="Z221" s="423"/>
      <c r="AA221" s="423"/>
      <c r="AB221" s="423"/>
      <c r="AC221" s="423"/>
      <c r="AD221" s="423"/>
      <c r="AE221" s="423"/>
      <c r="AF221" s="423"/>
      <c r="AG221" s="423"/>
      <c r="AH221" s="423"/>
    </row>
    <row r="222" spans="1:34">
      <c r="A222" s="423"/>
      <c r="B222" s="423"/>
      <c r="C222" s="423"/>
      <c r="D222" s="423"/>
      <c r="E222" s="423"/>
      <c r="F222" s="423"/>
      <c r="G222" s="423"/>
      <c r="H222" s="423"/>
      <c r="I222" s="423"/>
      <c r="J222" s="423"/>
      <c r="K222" s="423"/>
      <c r="L222" s="423"/>
      <c r="M222" s="423"/>
      <c r="N222" s="423"/>
      <c r="O222" s="423"/>
      <c r="P222" s="423"/>
      <c r="Q222" s="423"/>
      <c r="R222" s="423"/>
      <c r="S222" s="423"/>
      <c r="T222" s="423"/>
      <c r="U222" s="423"/>
      <c r="V222" s="423"/>
      <c r="W222" s="423"/>
      <c r="X222" s="423"/>
      <c r="Y222" s="423"/>
      <c r="Z222" s="423"/>
      <c r="AA222" s="423"/>
      <c r="AB222" s="423"/>
      <c r="AC222" s="423"/>
      <c r="AD222" s="423"/>
      <c r="AE222" s="423"/>
      <c r="AF222" s="423"/>
      <c r="AG222" s="423"/>
      <c r="AH222" s="423"/>
    </row>
    <row r="223" spans="1:34">
      <c r="A223" s="423"/>
      <c r="B223" s="423"/>
      <c r="C223" s="423"/>
      <c r="D223" s="423"/>
      <c r="E223" s="423"/>
      <c r="F223" s="423"/>
      <c r="G223" s="423"/>
      <c r="H223" s="423"/>
      <c r="I223" s="423"/>
      <c r="J223" s="423"/>
      <c r="K223" s="423"/>
      <c r="L223" s="423"/>
      <c r="M223" s="423"/>
      <c r="N223" s="423"/>
      <c r="O223" s="423"/>
      <c r="P223" s="423"/>
      <c r="Q223" s="423"/>
      <c r="R223" s="423"/>
      <c r="S223" s="423"/>
      <c r="T223" s="423"/>
      <c r="U223" s="423"/>
      <c r="V223" s="423"/>
      <c r="W223" s="423"/>
      <c r="X223" s="423"/>
      <c r="Y223" s="423"/>
      <c r="Z223" s="423"/>
      <c r="AA223" s="423"/>
      <c r="AB223" s="423"/>
      <c r="AC223" s="423"/>
      <c r="AD223" s="423"/>
      <c r="AE223" s="423"/>
      <c r="AF223" s="423"/>
      <c r="AG223" s="423"/>
      <c r="AH223" s="423"/>
    </row>
    <row r="224" spans="1:34">
      <c r="A224" s="423"/>
      <c r="B224" s="423"/>
      <c r="C224" s="423"/>
      <c r="D224" s="423"/>
      <c r="E224" s="423"/>
      <c r="F224" s="423"/>
      <c r="G224" s="423"/>
      <c r="H224" s="423"/>
      <c r="I224" s="423"/>
      <c r="J224" s="423"/>
      <c r="K224" s="423"/>
      <c r="L224" s="423"/>
      <c r="M224" s="423"/>
      <c r="N224" s="423"/>
      <c r="O224" s="423"/>
      <c r="P224" s="423"/>
      <c r="Q224" s="423"/>
      <c r="R224" s="423"/>
      <c r="S224" s="423"/>
      <c r="T224" s="423"/>
      <c r="U224" s="423"/>
      <c r="V224" s="423"/>
      <c r="W224" s="423"/>
      <c r="X224" s="423"/>
      <c r="Y224" s="423"/>
      <c r="Z224" s="423"/>
      <c r="AA224" s="423"/>
      <c r="AB224" s="423"/>
      <c r="AC224" s="423"/>
      <c r="AD224" s="423"/>
      <c r="AE224" s="423"/>
      <c r="AF224" s="423"/>
      <c r="AG224" s="423"/>
      <c r="AH224" s="423"/>
    </row>
    <row r="225" spans="1:34">
      <c r="A225" s="423"/>
      <c r="B225" s="423"/>
      <c r="C225" s="423"/>
      <c r="D225" s="423"/>
      <c r="E225" s="423"/>
      <c r="F225" s="423"/>
      <c r="G225" s="423"/>
      <c r="H225" s="423"/>
      <c r="I225" s="423"/>
      <c r="J225" s="423"/>
      <c r="K225" s="423"/>
      <c r="L225" s="423"/>
      <c r="M225" s="423"/>
      <c r="N225" s="423"/>
      <c r="O225" s="423"/>
      <c r="P225" s="423"/>
      <c r="Q225" s="423"/>
      <c r="R225" s="423"/>
      <c r="S225" s="423"/>
      <c r="T225" s="423"/>
      <c r="U225" s="423"/>
      <c r="V225" s="423"/>
      <c r="W225" s="423"/>
      <c r="X225" s="423"/>
      <c r="Y225" s="423"/>
      <c r="Z225" s="423"/>
      <c r="AA225" s="423"/>
      <c r="AB225" s="423"/>
      <c r="AC225" s="423"/>
      <c r="AD225" s="423"/>
      <c r="AE225" s="423"/>
      <c r="AF225" s="423"/>
      <c r="AG225" s="423"/>
      <c r="AH225" s="423"/>
    </row>
    <row r="226" spans="1:34">
      <c r="A226" s="423"/>
      <c r="B226" s="423"/>
      <c r="C226" s="423"/>
      <c r="D226" s="423"/>
      <c r="E226" s="423"/>
      <c r="F226" s="423"/>
      <c r="G226" s="423"/>
      <c r="H226" s="423"/>
      <c r="I226" s="423"/>
      <c r="J226" s="423"/>
      <c r="K226" s="423"/>
      <c r="L226" s="423"/>
      <c r="M226" s="423"/>
      <c r="N226" s="423"/>
      <c r="O226" s="423"/>
      <c r="P226" s="423"/>
      <c r="Q226" s="423"/>
      <c r="R226" s="423"/>
      <c r="S226" s="423"/>
      <c r="T226" s="423"/>
      <c r="U226" s="423"/>
      <c r="V226" s="423"/>
      <c r="W226" s="423"/>
      <c r="X226" s="423"/>
      <c r="Y226" s="423"/>
      <c r="Z226" s="423"/>
      <c r="AA226" s="423"/>
      <c r="AB226" s="423"/>
      <c r="AC226" s="423"/>
      <c r="AD226" s="423"/>
      <c r="AE226" s="423"/>
      <c r="AF226" s="423"/>
      <c r="AG226" s="423"/>
      <c r="AH226" s="423"/>
    </row>
    <row r="227" spans="1:34">
      <c r="A227" s="423"/>
      <c r="B227" s="423"/>
      <c r="C227" s="423"/>
      <c r="D227" s="423"/>
      <c r="E227" s="423"/>
      <c r="F227" s="423"/>
      <c r="G227" s="423"/>
      <c r="H227" s="423"/>
      <c r="I227" s="423"/>
      <c r="J227" s="423"/>
      <c r="K227" s="423"/>
      <c r="L227" s="423"/>
      <c r="M227" s="423"/>
      <c r="N227" s="423"/>
      <c r="O227" s="423"/>
      <c r="P227" s="423"/>
      <c r="Q227" s="423"/>
      <c r="R227" s="423"/>
      <c r="S227" s="423"/>
      <c r="T227" s="423"/>
      <c r="U227" s="423"/>
      <c r="V227" s="423"/>
      <c r="W227" s="423"/>
      <c r="X227" s="423"/>
      <c r="Y227" s="423"/>
      <c r="Z227" s="423"/>
      <c r="AA227" s="423"/>
      <c r="AB227" s="423"/>
      <c r="AC227" s="423"/>
      <c r="AD227" s="423"/>
      <c r="AE227" s="423"/>
      <c r="AF227" s="423"/>
      <c r="AG227" s="423"/>
      <c r="AH227" s="423"/>
    </row>
    <row r="228" spans="1:34">
      <c r="A228" s="423"/>
      <c r="B228" s="423"/>
      <c r="C228" s="423"/>
      <c r="D228" s="423"/>
      <c r="E228" s="423"/>
      <c r="F228" s="423"/>
      <c r="G228" s="423"/>
      <c r="H228" s="423"/>
      <c r="I228" s="423"/>
      <c r="J228" s="423"/>
      <c r="K228" s="423"/>
      <c r="L228" s="423"/>
      <c r="M228" s="423"/>
      <c r="N228" s="423"/>
      <c r="O228" s="423"/>
      <c r="P228" s="423"/>
      <c r="Q228" s="423"/>
      <c r="R228" s="423"/>
      <c r="S228" s="423"/>
      <c r="T228" s="423"/>
      <c r="U228" s="423"/>
      <c r="V228" s="423"/>
      <c r="W228" s="423"/>
      <c r="X228" s="423"/>
      <c r="Y228" s="423"/>
      <c r="Z228" s="423"/>
      <c r="AA228" s="423"/>
      <c r="AB228" s="423"/>
      <c r="AC228" s="423"/>
      <c r="AD228" s="423"/>
      <c r="AE228" s="423"/>
      <c r="AF228" s="423"/>
      <c r="AG228" s="423"/>
      <c r="AH228" s="423"/>
    </row>
    <row r="229" spans="1:34">
      <c r="A229" s="423"/>
      <c r="B229" s="423"/>
      <c r="C229" s="423"/>
      <c r="D229" s="423"/>
      <c r="E229" s="423"/>
      <c r="F229" s="423"/>
      <c r="G229" s="423"/>
      <c r="H229" s="423"/>
      <c r="I229" s="423"/>
      <c r="J229" s="423"/>
      <c r="K229" s="423"/>
      <c r="L229" s="423"/>
      <c r="M229" s="423"/>
      <c r="N229" s="423"/>
      <c r="O229" s="423"/>
      <c r="P229" s="423"/>
      <c r="Q229" s="423"/>
      <c r="R229" s="423"/>
      <c r="S229" s="423"/>
      <c r="T229" s="423"/>
      <c r="U229" s="423"/>
      <c r="V229" s="423"/>
      <c r="W229" s="423"/>
      <c r="X229" s="423"/>
      <c r="Y229" s="423"/>
      <c r="Z229" s="423"/>
      <c r="AA229" s="423"/>
      <c r="AB229" s="423"/>
      <c r="AC229" s="423"/>
      <c r="AD229" s="423"/>
      <c r="AE229" s="423"/>
      <c r="AF229" s="423"/>
      <c r="AG229" s="423"/>
      <c r="AH229" s="423"/>
    </row>
    <row r="230" spans="1:34">
      <c r="A230" s="423"/>
      <c r="B230" s="423"/>
      <c r="C230" s="423"/>
      <c r="D230" s="423"/>
      <c r="E230" s="423"/>
      <c r="F230" s="423"/>
      <c r="G230" s="423"/>
      <c r="H230" s="423"/>
      <c r="I230" s="423"/>
      <c r="J230" s="423"/>
      <c r="K230" s="423"/>
      <c r="L230" s="423"/>
      <c r="M230" s="423"/>
      <c r="N230" s="423"/>
      <c r="O230" s="423"/>
      <c r="P230" s="423"/>
      <c r="Q230" s="423"/>
      <c r="R230" s="423"/>
      <c r="S230" s="423"/>
      <c r="T230" s="423"/>
      <c r="U230" s="423"/>
      <c r="V230" s="423"/>
      <c r="W230" s="423"/>
      <c r="X230" s="423"/>
      <c r="Y230" s="423"/>
      <c r="Z230" s="423"/>
      <c r="AA230" s="423"/>
      <c r="AB230" s="423"/>
      <c r="AC230" s="423"/>
      <c r="AD230" s="423"/>
      <c r="AE230" s="423"/>
      <c r="AF230" s="423"/>
      <c r="AG230" s="423"/>
      <c r="AH230" s="423"/>
    </row>
    <row r="231" spans="1:34">
      <c r="A231" s="423"/>
      <c r="B231" s="423"/>
      <c r="C231" s="423"/>
      <c r="D231" s="423"/>
      <c r="E231" s="423"/>
      <c r="F231" s="423"/>
      <c r="G231" s="423"/>
      <c r="H231" s="423"/>
      <c r="I231" s="423"/>
      <c r="J231" s="423"/>
      <c r="K231" s="423"/>
      <c r="L231" s="423"/>
      <c r="M231" s="423"/>
      <c r="N231" s="423"/>
      <c r="O231" s="423"/>
      <c r="P231" s="423"/>
      <c r="Q231" s="423"/>
      <c r="R231" s="423"/>
      <c r="S231" s="423"/>
      <c r="T231" s="423"/>
      <c r="U231" s="423"/>
      <c r="V231" s="423"/>
      <c r="W231" s="423"/>
      <c r="X231" s="423"/>
      <c r="Y231" s="423"/>
      <c r="Z231" s="423"/>
      <c r="AA231" s="423"/>
      <c r="AB231" s="423"/>
      <c r="AC231" s="423"/>
      <c r="AD231" s="423"/>
      <c r="AE231" s="423"/>
      <c r="AF231" s="423"/>
      <c r="AG231" s="423"/>
      <c r="AH231" s="423"/>
    </row>
    <row r="232" spans="1:34">
      <c r="A232" s="423"/>
      <c r="B232" s="423"/>
      <c r="C232" s="423"/>
      <c r="D232" s="423"/>
      <c r="E232" s="423"/>
      <c r="F232" s="423"/>
      <c r="G232" s="423"/>
      <c r="H232" s="423"/>
      <c r="I232" s="423"/>
      <c r="J232" s="423"/>
      <c r="K232" s="423"/>
      <c r="L232" s="423"/>
      <c r="M232" s="423"/>
      <c r="N232" s="423"/>
      <c r="O232" s="423"/>
      <c r="P232" s="423"/>
      <c r="Q232" s="423"/>
      <c r="R232" s="423"/>
      <c r="S232" s="423"/>
      <c r="T232" s="423"/>
      <c r="U232" s="423"/>
      <c r="V232" s="423"/>
      <c r="W232" s="423"/>
      <c r="X232" s="423"/>
      <c r="Y232" s="423"/>
      <c r="Z232" s="423"/>
      <c r="AA232" s="423"/>
      <c r="AB232" s="423"/>
      <c r="AC232" s="423"/>
      <c r="AD232" s="423"/>
      <c r="AE232" s="423"/>
      <c r="AF232" s="423"/>
      <c r="AG232" s="423"/>
      <c r="AH232" s="423"/>
    </row>
    <row r="233" spans="1:34">
      <c r="A233" s="423"/>
      <c r="B233" s="423"/>
      <c r="C233" s="423"/>
      <c r="D233" s="423"/>
      <c r="E233" s="423"/>
      <c r="F233" s="423"/>
      <c r="G233" s="423"/>
      <c r="H233" s="423"/>
      <c r="I233" s="423"/>
      <c r="J233" s="423"/>
      <c r="K233" s="423"/>
      <c r="L233" s="423"/>
      <c r="M233" s="423"/>
      <c r="N233" s="423"/>
      <c r="O233" s="423"/>
      <c r="P233" s="423"/>
      <c r="Q233" s="423"/>
      <c r="R233" s="423"/>
      <c r="S233" s="423"/>
      <c r="T233" s="423"/>
      <c r="U233" s="423"/>
      <c r="V233" s="423"/>
      <c r="W233" s="423"/>
      <c r="X233" s="423"/>
      <c r="Y233" s="423"/>
      <c r="Z233" s="423"/>
      <c r="AA233" s="423"/>
      <c r="AB233" s="423"/>
      <c r="AC233" s="423"/>
      <c r="AD233" s="423"/>
      <c r="AE233" s="423"/>
      <c r="AF233" s="423"/>
      <c r="AG233" s="423"/>
      <c r="AH233" s="423"/>
    </row>
    <row r="234" spans="1:34">
      <c r="A234" s="423"/>
      <c r="B234" s="423"/>
      <c r="C234" s="423"/>
      <c r="D234" s="423"/>
      <c r="E234" s="423"/>
      <c r="F234" s="423"/>
      <c r="G234" s="423"/>
      <c r="H234" s="423"/>
      <c r="I234" s="423"/>
      <c r="J234" s="423"/>
      <c r="K234" s="423"/>
      <c r="L234" s="423"/>
      <c r="M234" s="423"/>
      <c r="N234" s="423"/>
      <c r="O234" s="423"/>
      <c r="P234" s="423"/>
      <c r="Q234" s="423"/>
      <c r="R234" s="423"/>
      <c r="S234" s="423"/>
      <c r="T234" s="423"/>
      <c r="U234" s="423"/>
      <c r="V234" s="423"/>
      <c r="W234" s="423"/>
      <c r="X234" s="423"/>
      <c r="Y234" s="423"/>
      <c r="Z234" s="423"/>
      <c r="AA234" s="423"/>
      <c r="AB234" s="423"/>
      <c r="AC234" s="423"/>
      <c r="AD234" s="423"/>
      <c r="AE234" s="423"/>
      <c r="AF234" s="423"/>
      <c r="AG234" s="423"/>
      <c r="AH234" s="423"/>
    </row>
    <row r="235" spans="1:34">
      <c r="A235" s="423"/>
      <c r="B235" s="423"/>
      <c r="C235" s="423"/>
      <c r="D235" s="423"/>
      <c r="E235" s="423"/>
      <c r="F235" s="423"/>
      <c r="G235" s="423"/>
      <c r="H235" s="423"/>
      <c r="I235" s="423"/>
      <c r="J235" s="423"/>
      <c r="K235" s="423"/>
      <c r="L235" s="423"/>
      <c r="M235" s="423"/>
      <c r="N235" s="423"/>
      <c r="O235" s="423"/>
      <c r="P235" s="423"/>
      <c r="Q235" s="423"/>
      <c r="R235" s="423"/>
      <c r="S235" s="423"/>
      <c r="T235" s="423"/>
      <c r="U235" s="423"/>
      <c r="V235" s="423"/>
      <c r="W235" s="423"/>
      <c r="X235" s="423"/>
      <c r="Y235" s="423"/>
      <c r="Z235" s="423"/>
      <c r="AA235" s="423"/>
      <c r="AB235" s="423"/>
      <c r="AC235" s="423"/>
      <c r="AD235" s="423"/>
      <c r="AE235" s="423"/>
      <c r="AF235" s="423"/>
      <c r="AG235" s="423"/>
      <c r="AH235" s="423"/>
    </row>
    <row r="236" spans="1:34">
      <c r="A236" s="423"/>
      <c r="B236" s="423"/>
      <c r="C236" s="423"/>
      <c r="D236" s="423"/>
      <c r="E236" s="423"/>
      <c r="F236" s="423"/>
      <c r="G236" s="423"/>
      <c r="H236" s="423"/>
      <c r="I236" s="423"/>
      <c r="J236" s="423"/>
      <c r="K236" s="423"/>
      <c r="L236" s="423"/>
      <c r="M236" s="423"/>
      <c r="N236" s="423"/>
      <c r="O236" s="423"/>
      <c r="P236" s="423"/>
      <c r="Q236" s="423"/>
      <c r="R236" s="423"/>
      <c r="S236" s="423"/>
      <c r="T236" s="423"/>
      <c r="U236" s="423"/>
      <c r="V236" s="423"/>
      <c r="W236" s="423"/>
      <c r="X236" s="423"/>
      <c r="Y236" s="423"/>
      <c r="Z236" s="423"/>
      <c r="AA236" s="423"/>
      <c r="AB236" s="423"/>
      <c r="AC236" s="423"/>
      <c r="AD236" s="423"/>
      <c r="AE236" s="423"/>
      <c r="AF236" s="423"/>
      <c r="AG236" s="423"/>
      <c r="AH236" s="423"/>
    </row>
    <row r="237" spans="1:34">
      <c r="A237" s="423"/>
      <c r="B237" s="423"/>
      <c r="C237" s="423"/>
      <c r="D237" s="423"/>
      <c r="E237" s="423"/>
      <c r="F237" s="423"/>
      <c r="G237" s="423"/>
      <c r="H237" s="423"/>
      <c r="I237" s="423"/>
      <c r="J237" s="423"/>
      <c r="K237" s="423"/>
      <c r="L237" s="423"/>
      <c r="M237" s="423"/>
      <c r="N237" s="423"/>
      <c r="O237" s="423"/>
      <c r="P237" s="423"/>
      <c r="Q237" s="423"/>
      <c r="R237" s="423"/>
      <c r="S237" s="423"/>
      <c r="T237" s="423"/>
      <c r="U237" s="423"/>
      <c r="V237" s="423"/>
      <c r="W237" s="423"/>
      <c r="X237" s="423"/>
      <c r="Y237" s="423"/>
      <c r="Z237" s="423"/>
      <c r="AA237" s="423"/>
      <c r="AB237" s="423"/>
      <c r="AC237" s="423"/>
      <c r="AD237" s="423"/>
      <c r="AE237" s="423"/>
      <c r="AF237" s="423"/>
      <c r="AG237" s="423"/>
      <c r="AH237" s="423"/>
    </row>
    <row r="238" spans="1:34">
      <c r="A238" s="423"/>
      <c r="B238" s="423"/>
      <c r="C238" s="423"/>
      <c r="D238" s="423"/>
      <c r="E238" s="423"/>
      <c r="F238" s="423"/>
      <c r="G238" s="423"/>
      <c r="H238" s="423"/>
      <c r="I238" s="423"/>
      <c r="J238" s="423"/>
      <c r="K238" s="423"/>
      <c r="L238" s="423"/>
      <c r="M238" s="423"/>
      <c r="N238" s="423"/>
      <c r="O238" s="423"/>
      <c r="P238" s="423"/>
      <c r="Q238" s="423"/>
      <c r="R238" s="423"/>
      <c r="S238" s="423"/>
      <c r="T238" s="423"/>
      <c r="U238" s="423"/>
      <c r="V238" s="423"/>
      <c r="W238" s="423"/>
      <c r="X238" s="423"/>
      <c r="Y238" s="423"/>
      <c r="Z238" s="423"/>
      <c r="AA238" s="423"/>
      <c r="AB238" s="423"/>
      <c r="AC238" s="423"/>
      <c r="AD238" s="423"/>
      <c r="AE238" s="423"/>
      <c r="AF238" s="423"/>
      <c r="AG238" s="423"/>
      <c r="AH238" s="423"/>
    </row>
    <row r="239" spans="1:34">
      <c r="A239" s="423"/>
      <c r="B239" s="423"/>
      <c r="C239" s="423"/>
      <c r="D239" s="423"/>
      <c r="E239" s="423"/>
      <c r="F239" s="423"/>
      <c r="G239" s="423"/>
      <c r="H239" s="423"/>
      <c r="I239" s="423"/>
      <c r="J239" s="423"/>
      <c r="K239" s="423"/>
      <c r="L239" s="423"/>
      <c r="M239" s="423"/>
      <c r="N239" s="423"/>
      <c r="O239" s="423"/>
      <c r="P239" s="423"/>
      <c r="Q239" s="423"/>
      <c r="R239" s="423"/>
      <c r="S239" s="423"/>
      <c r="T239" s="423"/>
      <c r="U239" s="423"/>
      <c r="V239" s="423"/>
      <c r="W239" s="423"/>
      <c r="X239" s="423"/>
      <c r="Y239" s="423"/>
      <c r="Z239" s="423"/>
      <c r="AA239" s="423"/>
      <c r="AB239" s="423"/>
      <c r="AC239" s="423"/>
      <c r="AD239" s="423"/>
      <c r="AE239" s="423"/>
      <c r="AF239" s="423"/>
      <c r="AG239" s="423"/>
      <c r="AH239" s="423"/>
    </row>
    <row r="240" spans="1:34">
      <c r="A240" s="423"/>
      <c r="B240" s="423"/>
      <c r="C240" s="423"/>
      <c r="D240" s="423"/>
      <c r="E240" s="423"/>
      <c r="F240" s="423"/>
      <c r="G240" s="423"/>
      <c r="H240" s="423"/>
      <c r="I240" s="423"/>
      <c r="J240" s="423"/>
      <c r="K240" s="423"/>
      <c r="L240" s="423"/>
      <c r="M240" s="423"/>
      <c r="N240" s="423"/>
      <c r="O240" s="423"/>
      <c r="P240" s="423"/>
      <c r="Q240" s="423"/>
      <c r="R240" s="423"/>
      <c r="S240" s="423"/>
      <c r="T240" s="423"/>
      <c r="U240" s="423"/>
      <c r="V240" s="423"/>
      <c r="W240" s="423"/>
      <c r="X240" s="423"/>
      <c r="Y240" s="423"/>
      <c r="Z240" s="423"/>
      <c r="AA240" s="423"/>
      <c r="AB240" s="423"/>
      <c r="AC240" s="423"/>
      <c r="AD240" s="423"/>
      <c r="AE240" s="423"/>
      <c r="AF240" s="423"/>
      <c r="AG240" s="423"/>
      <c r="AH240" s="423"/>
    </row>
    <row r="241" spans="1:34">
      <c r="A241" s="423"/>
      <c r="B241" s="423"/>
      <c r="C241" s="423"/>
      <c r="D241" s="423"/>
      <c r="E241" s="423"/>
      <c r="F241" s="423"/>
      <c r="G241" s="423"/>
      <c r="H241" s="423"/>
      <c r="I241" s="423"/>
      <c r="J241" s="423"/>
      <c r="K241" s="423"/>
      <c r="L241" s="423"/>
      <c r="M241" s="423"/>
      <c r="N241" s="423"/>
      <c r="O241" s="423"/>
      <c r="P241" s="423"/>
      <c r="Q241" s="423"/>
      <c r="R241" s="423"/>
      <c r="S241" s="423"/>
      <c r="T241" s="423"/>
      <c r="U241" s="423"/>
      <c r="V241" s="423"/>
      <c r="W241" s="423"/>
      <c r="X241" s="423"/>
      <c r="Y241" s="423"/>
      <c r="Z241" s="423"/>
      <c r="AA241" s="423"/>
      <c r="AB241" s="423"/>
      <c r="AC241" s="423"/>
      <c r="AD241" s="423"/>
      <c r="AE241" s="423"/>
      <c r="AF241" s="423"/>
      <c r="AG241" s="423"/>
      <c r="AH241" s="423"/>
    </row>
    <row r="242" spans="1:34">
      <c r="A242" s="423"/>
      <c r="B242" s="423"/>
      <c r="C242" s="423"/>
      <c r="D242" s="423"/>
      <c r="E242" s="423"/>
      <c r="F242" s="423"/>
      <c r="G242" s="423"/>
      <c r="H242" s="423"/>
      <c r="I242" s="423"/>
      <c r="J242" s="423"/>
      <c r="K242" s="423"/>
      <c r="L242" s="423"/>
      <c r="M242" s="423"/>
      <c r="N242" s="423"/>
      <c r="O242" s="423"/>
      <c r="P242" s="423"/>
      <c r="Q242" s="423"/>
      <c r="R242" s="423"/>
      <c r="S242" s="423"/>
      <c r="T242" s="423"/>
      <c r="U242" s="423"/>
      <c r="V242" s="423"/>
      <c r="W242" s="423"/>
      <c r="X242" s="423"/>
      <c r="Y242" s="423"/>
      <c r="Z242" s="423"/>
      <c r="AA242" s="423"/>
      <c r="AB242" s="423"/>
      <c r="AC242" s="423"/>
      <c r="AD242" s="423"/>
      <c r="AE242" s="423"/>
      <c r="AF242" s="423"/>
      <c r="AG242" s="423"/>
      <c r="AH242" s="423"/>
    </row>
    <row r="243" spans="1:34">
      <c r="A243" s="423"/>
      <c r="B243" s="423"/>
      <c r="C243" s="423"/>
      <c r="D243" s="423"/>
      <c r="E243" s="423"/>
      <c r="F243" s="423"/>
      <c r="G243" s="423"/>
      <c r="H243" s="423"/>
      <c r="I243" s="423"/>
      <c r="J243" s="423"/>
      <c r="K243" s="423"/>
      <c r="L243" s="423"/>
      <c r="M243" s="423"/>
      <c r="N243" s="423"/>
      <c r="O243" s="423"/>
      <c r="P243" s="423"/>
      <c r="Q243" s="423"/>
      <c r="R243" s="423"/>
      <c r="S243" s="423"/>
      <c r="T243" s="423"/>
      <c r="U243" s="423"/>
      <c r="V243" s="423"/>
      <c r="W243" s="423"/>
      <c r="X243" s="423"/>
      <c r="Y243" s="423"/>
      <c r="Z243" s="423"/>
      <c r="AA243" s="423"/>
      <c r="AB243" s="423"/>
      <c r="AC243" s="423"/>
      <c r="AD243" s="423"/>
      <c r="AE243" s="423"/>
      <c r="AF243" s="423"/>
      <c r="AG243" s="423"/>
      <c r="AH243" s="423"/>
    </row>
    <row r="244" spans="1:34">
      <c r="A244" s="423"/>
      <c r="B244" s="423"/>
      <c r="C244" s="423"/>
      <c r="D244" s="423"/>
      <c r="E244" s="423"/>
      <c r="F244" s="423"/>
      <c r="G244" s="423"/>
      <c r="H244" s="423"/>
      <c r="I244" s="423"/>
      <c r="J244" s="423"/>
      <c r="K244" s="423"/>
      <c r="L244" s="423"/>
      <c r="M244" s="423"/>
      <c r="N244" s="423"/>
      <c r="O244" s="423"/>
      <c r="P244" s="423"/>
      <c r="Q244" s="423"/>
      <c r="R244" s="423"/>
      <c r="S244" s="423"/>
      <c r="T244" s="423"/>
      <c r="U244" s="423"/>
      <c r="V244" s="423"/>
      <c r="W244" s="423"/>
      <c r="X244" s="423"/>
      <c r="Y244" s="423"/>
      <c r="Z244" s="423"/>
      <c r="AA244" s="423"/>
      <c r="AB244" s="423"/>
      <c r="AC244" s="423"/>
      <c r="AD244" s="423"/>
      <c r="AE244" s="423"/>
      <c r="AF244" s="423"/>
      <c r="AG244" s="423"/>
      <c r="AH244" s="423"/>
    </row>
    <row r="245" spans="1:34">
      <c r="A245" s="423"/>
      <c r="B245" s="423"/>
      <c r="C245" s="423"/>
      <c r="D245" s="423"/>
      <c r="E245" s="423"/>
      <c r="F245" s="423"/>
      <c r="G245" s="423"/>
      <c r="H245" s="423"/>
      <c r="I245" s="423"/>
      <c r="J245" s="423"/>
      <c r="K245" s="423"/>
      <c r="L245" s="423"/>
      <c r="M245" s="423"/>
      <c r="N245" s="423"/>
      <c r="O245" s="423"/>
      <c r="P245" s="423"/>
      <c r="Q245" s="423"/>
      <c r="R245" s="423"/>
      <c r="S245" s="423"/>
      <c r="T245" s="423"/>
      <c r="U245" s="423"/>
      <c r="V245" s="423"/>
      <c r="W245" s="423"/>
      <c r="X245" s="423"/>
      <c r="Y245" s="423"/>
      <c r="Z245" s="423"/>
      <c r="AA245" s="423"/>
      <c r="AB245" s="423"/>
      <c r="AC245" s="423"/>
      <c r="AD245" s="423"/>
      <c r="AE245" s="423"/>
      <c r="AF245" s="423"/>
      <c r="AG245" s="423"/>
      <c r="AH245" s="423"/>
    </row>
  </sheetData>
  <pageMargins left="0.7" right="0.7" top="1.1811023622047201" bottom="0.75" header="0.3" footer="0.3"/>
  <pageSetup paperSize="9" orientation="portrait" horizontalDpi="90" verticalDpi="90" r:id="rId1"/>
  <headerFooter scaleWithDoc="0">
    <oddHeader>&amp;L&amp;"NotesEsa,Regular"&amp;9&amp;R&amp;G</oddHeader>
    <oddFooter>&amp;L&amp;"Georgia,Regular"&amp;9Page &amp;P / &amp;N&amp;R&amp;G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AB89"/>
  <sheetViews>
    <sheetView topLeftCell="B1" zoomScale="40" zoomScaleNormal="40" workbookViewId="0">
      <selection activeCell="T6" sqref="T6"/>
    </sheetView>
  </sheetViews>
  <sheetFormatPr defaultColWidth="9.08984375" defaultRowHeight="14.4"/>
  <cols>
    <col min="1" max="1" width="10.54296875" style="473" bestFit="1" customWidth="1"/>
    <col min="2" max="2" width="25.453125" style="473" customWidth="1"/>
    <col min="3" max="3" width="4.453125" style="473" customWidth="1"/>
    <col min="4" max="4" width="9.6328125" style="473" bestFit="1" customWidth="1"/>
    <col min="5" max="5" width="4.453125" style="473" customWidth="1"/>
    <col min="6" max="6" width="9.6328125" style="473" bestFit="1" customWidth="1"/>
    <col min="7" max="7" width="4.453125" style="473" customWidth="1"/>
    <col min="8" max="8" width="9.6328125" style="473" bestFit="1" customWidth="1"/>
    <col min="9" max="9" width="4.453125" style="473" customWidth="1"/>
    <col min="10" max="10" width="9.6328125" style="473" bestFit="1" customWidth="1"/>
    <col min="11" max="11" width="4.453125" style="473" customWidth="1"/>
    <col min="12" max="12" width="9.6328125" style="473" bestFit="1" customWidth="1"/>
    <col min="13" max="13" width="4.453125" style="473" customWidth="1"/>
    <col min="14" max="14" width="9.6328125" style="473" bestFit="1" customWidth="1"/>
    <col min="15" max="15" width="4.453125" style="473" customWidth="1"/>
    <col min="16" max="16" width="9.6328125" style="473" bestFit="1" customWidth="1"/>
    <col min="17" max="17" width="4.453125" style="473" customWidth="1"/>
    <col min="18" max="18" width="9.6328125" style="473" bestFit="1" customWidth="1"/>
    <col min="19" max="19" width="4.453125" style="473" customWidth="1"/>
    <col min="20" max="20" width="10.54296875" style="473" bestFit="1" customWidth="1"/>
    <col min="21" max="28" width="9.08984375" style="424"/>
    <col min="29" max="16384" width="9.08984375" style="473"/>
  </cols>
  <sheetData>
    <row r="1" spans="1:20" ht="23.4">
      <c r="A1" s="424"/>
      <c r="B1" s="425" t="s">
        <v>346</v>
      </c>
      <c r="C1" s="424"/>
      <c r="D1" s="424"/>
      <c r="E1" s="424"/>
      <c r="F1" s="424"/>
      <c r="G1" s="424"/>
      <c r="H1" s="424"/>
      <c r="I1" s="424"/>
      <c r="J1" s="424"/>
      <c r="K1" s="424"/>
      <c r="L1" s="424"/>
      <c r="M1" s="424"/>
      <c r="N1" s="424"/>
      <c r="O1" s="424"/>
      <c r="P1" s="424"/>
      <c r="Q1" s="424"/>
      <c r="R1" s="424"/>
      <c r="S1" s="424"/>
      <c r="T1" s="426" t="s">
        <v>420</v>
      </c>
    </row>
    <row r="2" spans="1:20">
      <c r="A2" s="424"/>
      <c r="B2" s="424" t="s">
        <v>347</v>
      </c>
      <c r="C2" s="424"/>
      <c r="D2" s="424"/>
      <c r="E2" s="424"/>
      <c r="F2" s="424"/>
      <c r="G2" s="424"/>
      <c r="H2" s="424"/>
      <c r="I2" s="424"/>
      <c r="J2" s="424"/>
      <c r="K2" s="424"/>
      <c r="L2" s="424"/>
      <c r="M2" s="424"/>
      <c r="N2" s="424"/>
      <c r="O2" s="424"/>
      <c r="P2" s="424"/>
      <c r="Q2" s="424"/>
      <c r="R2" s="424" t="s">
        <v>348</v>
      </c>
      <c r="S2" s="424"/>
      <c r="T2" s="424" t="s">
        <v>349</v>
      </c>
    </row>
    <row r="3" spans="1:20">
      <c r="A3" s="424"/>
      <c r="B3" s="427" t="s">
        <v>407</v>
      </c>
      <c r="C3" s="424"/>
      <c r="D3" s="424"/>
      <c r="E3" s="424"/>
      <c r="F3" s="424"/>
      <c r="G3" s="424"/>
      <c r="H3" s="424"/>
      <c r="I3" s="424"/>
      <c r="J3" s="424"/>
      <c r="K3" s="424"/>
      <c r="L3" s="424"/>
      <c r="M3" s="424"/>
      <c r="N3" s="424"/>
      <c r="O3" s="424"/>
      <c r="P3" s="424"/>
      <c r="Q3" s="424"/>
      <c r="R3" s="424" t="s">
        <v>350</v>
      </c>
      <c r="S3" s="424"/>
      <c r="T3" s="424" t="s">
        <v>351</v>
      </c>
    </row>
    <row r="4" spans="1:20">
      <c r="A4" s="424"/>
      <c r="B4" s="424" t="s">
        <v>352</v>
      </c>
      <c r="C4" s="424"/>
      <c r="D4" s="424"/>
      <c r="E4" s="424"/>
      <c r="F4" s="424"/>
      <c r="G4" s="424"/>
      <c r="H4" s="424"/>
      <c r="I4" s="424"/>
      <c r="J4" s="424"/>
      <c r="K4" s="424"/>
      <c r="L4" s="424"/>
      <c r="M4" s="424"/>
      <c r="N4" s="424"/>
      <c r="O4" s="424"/>
      <c r="P4" s="424"/>
      <c r="Q4" s="424"/>
      <c r="R4" s="424"/>
      <c r="S4" s="424"/>
      <c r="T4" s="426" t="s">
        <v>421</v>
      </c>
    </row>
    <row r="5" spans="1:20">
      <c r="A5" s="424"/>
      <c r="B5" s="424" t="s">
        <v>353</v>
      </c>
      <c r="C5" s="424"/>
      <c r="D5" s="424"/>
      <c r="E5" s="424"/>
      <c r="F5" s="424"/>
      <c r="G5" s="424"/>
      <c r="H5" s="424"/>
      <c r="I5" s="424"/>
      <c r="J5" s="424"/>
      <c r="K5" s="424"/>
      <c r="L5" s="424"/>
      <c r="M5" s="424"/>
      <c r="N5" s="424"/>
      <c r="O5" s="424"/>
      <c r="P5" s="424"/>
      <c r="Q5" s="424"/>
      <c r="R5" s="424"/>
      <c r="S5" s="424"/>
      <c r="T5" s="426" t="s">
        <v>422</v>
      </c>
    </row>
    <row r="6" spans="1:20">
      <c r="A6" s="424"/>
      <c r="B6" s="426" t="s">
        <v>408</v>
      </c>
      <c r="C6" s="424"/>
      <c r="D6" s="424"/>
      <c r="E6" s="424"/>
      <c r="F6" s="424"/>
      <c r="G6" s="424"/>
      <c r="H6" s="424"/>
      <c r="I6" s="424"/>
      <c r="J6" s="424"/>
      <c r="K6" s="424"/>
      <c r="L6" s="424"/>
      <c r="M6" s="424"/>
      <c r="N6" s="424"/>
      <c r="O6" s="424"/>
      <c r="P6" s="424"/>
      <c r="Q6" s="424"/>
      <c r="R6" s="424"/>
      <c r="S6" s="424"/>
      <c r="T6" s="424"/>
    </row>
    <row r="7" spans="1:20">
      <c r="A7" s="424"/>
      <c r="B7" s="424" t="s">
        <v>354</v>
      </c>
      <c r="C7" s="424"/>
      <c r="D7" s="424"/>
      <c r="E7" s="424"/>
      <c r="F7" s="424"/>
      <c r="G7" s="424"/>
      <c r="H7" s="424"/>
      <c r="I7" s="424"/>
      <c r="J7" s="424"/>
      <c r="K7" s="424"/>
      <c r="L7" s="424"/>
      <c r="M7" s="424"/>
      <c r="N7" s="424"/>
      <c r="O7" s="424"/>
      <c r="P7" s="424"/>
      <c r="Q7" s="424"/>
      <c r="R7" s="424"/>
      <c r="S7" s="424"/>
      <c r="T7" s="424"/>
    </row>
    <row r="8" spans="1:20">
      <c r="A8" s="424"/>
      <c r="B8" s="428" t="s">
        <v>355</v>
      </c>
      <c r="C8" s="424"/>
      <c r="D8" s="424"/>
      <c r="E8" s="424"/>
      <c r="F8" s="424"/>
      <c r="G8" s="424"/>
      <c r="H8" s="424"/>
      <c r="I8" s="424"/>
      <c r="J8" s="424"/>
      <c r="K8" s="424"/>
      <c r="L8" s="424"/>
      <c r="M8" s="424"/>
      <c r="N8" s="424"/>
      <c r="O8" s="424"/>
      <c r="P8" s="424"/>
      <c r="Q8" s="424"/>
      <c r="R8" s="424"/>
      <c r="S8" s="424"/>
      <c r="T8" s="424"/>
    </row>
    <row r="9" spans="1:20">
      <c r="A9" s="424"/>
      <c r="B9" s="424"/>
      <c r="C9" s="424"/>
      <c r="D9" s="424"/>
      <c r="E9" s="424"/>
      <c r="F9" s="424"/>
      <c r="G9" s="424"/>
      <c r="H9" s="424"/>
      <c r="I9" s="424"/>
      <c r="J9" s="424"/>
      <c r="K9" s="424"/>
      <c r="L9" s="424"/>
      <c r="M9" s="424"/>
      <c r="N9" s="424"/>
      <c r="O9" s="424"/>
      <c r="P9" s="424"/>
      <c r="Q9" s="424"/>
      <c r="R9" s="424"/>
      <c r="S9" s="424"/>
      <c r="T9" s="424"/>
    </row>
    <row r="10" spans="1:20">
      <c r="A10" s="424"/>
      <c r="B10" s="428" t="s">
        <v>356</v>
      </c>
      <c r="C10" s="424"/>
      <c r="D10" s="424"/>
      <c r="E10" s="424"/>
      <c r="F10" s="424"/>
      <c r="G10" s="424"/>
      <c r="H10" s="424"/>
      <c r="I10" s="424"/>
      <c r="J10" s="424"/>
      <c r="K10" s="424"/>
      <c r="L10" s="424"/>
      <c r="M10" s="424"/>
      <c r="N10" s="424"/>
      <c r="O10" s="424"/>
      <c r="P10" s="424"/>
      <c r="Q10" s="424"/>
      <c r="R10" s="424"/>
      <c r="S10" s="424"/>
      <c r="T10" s="424"/>
    </row>
    <row r="11" spans="1:20" ht="15" thickBot="1">
      <c r="A11" s="424"/>
      <c r="B11" s="429" t="s">
        <v>357</v>
      </c>
      <c r="C11" s="429"/>
      <c r="D11" s="429" t="s">
        <v>358</v>
      </c>
      <c r="E11" s="429"/>
      <c r="F11" s="429" t="s">
        <v>359</v>
      </c>
      <c r="G11" s="429"/>
      <c r="H11" s="429" t="s">
        <v>360</v>
      </c>
      <c r="I11" s="429"/>
      <c r="J11" s="429" t="s">
        <v>361</v>
      </c>
      <c r="K11" s="429"/>
      <c r="L11" s="429" t="s">
        <v>362</v>
      </c>
      <c r="M11" s="429"/>
      <c r="N11" s="429" t="s">
        <v>363</v>
      </c>
      <c r="O11" s="429"/>
      <c r="P11" s="429" t="s">
        <v>364</v>
      </c>
      <c r="Q11" s="429"/>
      <c r="R11" s="429" t="s">
        <v>365</v>
      </c>
      <c r="S11" s="429"/>
      <c r="T11" s="429" t="s">
        <v>366</v>
      </c>
    </row>
    <row r="12" spans="1:20" ht="15" thickBot="1">
      <c r="A12" s="430" t="s">
        <v>367</v>
      </c>
      <c r="B12" s="431" t="s">
        <v>0</v>
      </c>
      <c r="C12" s="432" t="s">
        <v>348</v>
      </c>
      <c r="D12" s="431" t="s">
        <v>409</v>
      </c>
      <c r="E12" s="431" t="s">
        <v>348</v>
      </c>
      <c r="F12" s="431" t="s">
        <v>2</v>
      </c>
      <c r="G12" s="432" t="s">
        <v>350</v>
      </c>
      <c r="H12" s="431" t="s">
        <v>410</v>
      </c>
      <c r="I12" s="432" t="s">
        <v>350</v>
      </c>
      <c r="J12" s="432" t="s">
        <v>56</v>
      </c>
      <c r="K12" s="432" t="s">
        <v>350</v>
      </c>
      <c r="L12" s="432"/>
      <c r="M12" s="432" t="s">
        <v>350</v>
      </c>
      <c r="N12" s="432"/>
      <c r="O12" s="432" t="s">
        <v>350</v>
      </c>
      <c r="P12" s="432"/>
      <c r="Q12" s="432" t="s">
        <v>350</v>
      </c>
      <c r="R12" s="432"/>
      <c r="S12" s="432" t="s">
        <v>350</v>
      </c>
      <c r="T12" s="433"/>
    </row>
    <row r="13" spans="1:20" ht="15" thickBot="1">
      <c r="A13" s="434" t="s">
        <v>368</v>
      </c>
      <c r="B13" s="435"/>
      <c r="C13" s="435">
        <f>IF(C12="&gt;",1,0)</f>
        <v>1</v>
      </c>
      <c r="D13" s="435"/>
      <c r="E13" s="435">
        <f>IF(E12="&gt;",1,0)</f>
        <v>1</v>
      </c>
      <c r="F13" s="435"/>
      <c r="G13" s="435">
        <f>IF(G12="&gt;",1,0)</f>
        <v>0</v>
      </c>
      <c r="H13" s="435"/>
      <c r="I13" s="435">
        <f>IF(I12="&gt;",1,0)</f>
        <v>0</v>
      </c>
      <c r="J13" s="435"/>
      <c r="K13" s="435">
        <f>IF(K12="&gt;",1,0)</f>
        <v>0</v>
      </c>
      <c r="L13" s="435"/>
      <c r="M13" s="435">
        <f>IF(M12="&gt;",1,0)</f>
        <v>0</v>
      </c>
      <c r="N13" s="435"/>
      <c r="O13" s="435">
        <f>IF(O12="&gt;",1,0)</f>
        <v>0</v>
      </c>
      <c r="P13" s="435"/>
      <c r="Q13" s="435">
        <f>IF(Q12="&gt;",1,0)</f>
        <v>0</v>
      </c>
      <c r="R13" s="435"/>
      <c r="S13" s="435">
        <f>IF(S12="&gt;",1,0)</f>
        <v>0</v>
      </c>
      <c r="T13" s="436"/>
    </row>
    <row r="14" spans="1:20">
      <c r="A14" s="424"/>
      <c r="B14" s="424"/>
      <c r="C14" s="424"/>
      <c r="D14" s="424"/>
      <c r="E14" s="424"/>
      <c r="F14" s="424"/>
      <c r="G14" s="424"/>
      <c r="H14" s="424"/>
      <c r="I14" s="424"/>
      <c r="J14" s="424"/>
      <c r="K14" s="424"/>
      <c r="L14" s="424"/>
      <c r="M14" s="424"/>
      <c r="N14" s="424"/>
      <c r="O14" s="424"/>
      <c r="P14" s="424"/>
      <c r="Q14" s="424"/>
      <c r="R14" s="424"/>
      <c r="S14" s="424"/>
      <c r="T14" s="424"/>
    </row>
    <row r="15" spans="1:20" ht="15" thickBot="1">
      <c r="A15" s="428" t="s">
        <v>411</v>
      </c>
      <c r="B15" s="424"/>
      <c r="C15" s="424"/>
      <c r="D15" s="424"/>
      <c r="E15" s="424"/>
      <c r="F15" s="424"/>
      <c r="G15" s="424"/>
      <c r="H15" s="424"/>
      <c r="I15" s="424"/>
      <c r="J15" s="424"/>
      <c r="K15" s="424"/>
      <c r="L15" s="424"/>
      <c r="M15" s="424"/>
      <c r="N15" s="424"/>
      <c r="O15" s="424"/>
      <c r="P15" s="424"/>
      <c r="Q15" s="424"/>
      <c r="R15" s="424"/>
      <c r="S15" s="424"/>
      <c r="T15" s="424"/>
    </row>
    <row r="16" spans="1:20" ht="117.6" thickBot="1">
      <c r="A16" s="430" t="s">
        <v>369</v>
      </c>
      <c r="B16" s="437" t="s">
        <v>412</v>
      </c>
      <c r="C16" s="438" t="str">
        <f>B17</f>
        <v>Mass</v>
      </c>
      <c r="D16" s="438" t="str">
        <f>B18</f>
        <v>Cost</v>
      </c>
      <c r="E16" s="438" t="str">
        <f>B19</f>
        <v>Power</v>
      </c>
      <c r="F16" s="438" t="str">
        <f>B20</f>
        <v>Equilibrium temperature</v>
      </c>
      <c r="G16" s="438" t="str">
        <f>B21</f>
        <v>E</v>
      </c>
      <c r="H16" s="438" t="str">
        <f>B22</f>
        <v/>
      </c>
      <c r="I16" s="438" t="str">
        <f>B23</f>
        <v/>
      </c>
      <c r="J16" s="438" t="str">
        <f>B24</f>
        <v/>
      </c>
      <c r="K16" s="438" t="str">
        <f>B25</f>
        <v/>
      </c>
      <c r="L16" s="438" t="str">
        <f>B26</f>
        <v/>
      </c>
      <c r="M16" s="439" t="s">
        <v>370</v>
      </c>
      <c r="N16" s="440" t="s">
        <v>371</v>
      </c>
      <c r="O16" s="439"/>
      <c r="P16" s="440" t="s">
        <v>372</v>
      </c>
      <c r="Q16" s="424"/>
      <c r="R16" s="424"/>
      <c r="S16" s="424"/>
      <c r="T16" s="424"/>
    </row>
    <row r="17" spans="1:20">
      <c r="A17" s="441">
        <v>1</v>
      </c>
      <c r="B17" s="442" t="str">
        <f>IF(B12="","",B12)</f>
        <v>Mass</v>
      </c>
      <c r="C17" s="443"/>
      <c r="D17" s="444">
        <f>IF(D16="",0,C13)</f>
        <v>1</v>
      </c>
      <c r="E17" s="444">
        <f>IF(E$16="",0,MAX(D17,E$13))</f>
        <v>1</v>
      </c>
      <c r="F17" s="444">
        <f>IF(F$16="",0,MAX(E17,G$13))</f>
        <v>1</v>
      </c>
      <c r="G17" s="444">
        <f>IF(F$16="",0,MAX(F17,I$13))</f>
        <v>1</v>
      </c>
      <c r="H17" s="444">
        <f>IF(H$16="",0,MAX(G17,K$13))</f>
        <v>0</v>
      </c>
      <c r="I17" s="444">
        <f>IF(I$16="",0,MAX(H17,M$13))</f>
        <v>0</v>
      </c>
      <c r="J17" s="444">
        <f>IF(J$16="",0,MAX(I17,O$13))</f>
        <v>0</v>
      </c>
      <c r="K17" s="444">
        <f>IF(K$16="",0,MAX(J17,Q$13))</f>
        <v>0</v>
      </c>
      <c r="L17" s="445">
        <f>IF(L$16="",0,MAX(K17,S$13))</f>
        <v>0</v>
      </c>
      <c r="M17" s="446">
        <f>IF(B17="","",SUM(C17:L17))</f>
        <v>4</v>
      </c>
      <c r="N17" s="447">
        <f>IF(B17="","",M17+ABS(MIN($M$17:$M$26))+1)</f>
        <v>7</v>
      </c>
      <c r="O17" s="446"/>
      <c r="P17" s="447">
        <f>IF(B17="","",N17/SUM($N$17:$N$26))</f>
        <v>0.46666666666666667</v>
      </c>
      <c r="Q17" s="424"/>
      <c r="R17" s="448"/>
      <c r="S17" s="424"/>
      <c r="T17" s="424"/>
    </row>
    <row r="18" spans="1:20">
      <c r="A18" s="441">
        <v>2</v>
      </c>
      <c r="B18" s="442" t="str">
        <f>IF(D12="","",D12)</f>
        <v>Cost</v>
      </c>
      <c r="C18" s="449">
        <f>-D17</f>
        <v>-1</v>
      </c>
      <c r="D18" s="450"/>
      <c r="E18" s="451">
        <f>IF(E$16="",0,MAX(D18,E$13))</f>
        <v>1</v>
      </c>
      <c r="F18" s="451">
        <f t="shared" ref="F18:F19" si="0">IF(F$16="",0,MAX(E18,G$13))</f>
        <v>1</v>
      </c>
      <c r="G18" s="451">
        <f t="shared" ref="G18:G20" si="1">IF(F$16="",0,MAX(F18,I$13))</f>
        <v>1</v>
      </c>
      <c r="H18" s="451">
        <f t="shared" ref="H18:H21" si="2">IF(H$16="",0,MAX(G18,K$13))</f>
        <v>0</v>
      </c>
      <c r="I18" s="451">
        <f t="shared" ref="I18:I22" si="3">IF(I$16="",0,MAX(H18,M$13))</f>
        <v>0</v>
      </c>
      <c r="J18" s="451">
        <f t="shared" ref="J18:J23" si="4">IF(J$16="",0,MAX(I18,O$13))</f>
        <v>0</v>
      </c>
      <c r="K18" s="451">
        <f t="shared" ref="K18:K24" si="5">IF(K$16="",0,MAX(J18,Q$13))</f>
        <v>0</v>
      </c>
      <c r="L18" s="452">
        <f t="shared" ref="L18:L25" si="6">IF(L$16="",0,MAX(K18,S$13))</f>
        <v>0</v>
      </c>
      <c r="M18" s="453">
        <f t="shared" ref="M18:M26" si="7">IF(B18="","",SUM(C18:L18))</f>
        <v>2</v>
      </c>
      <c r="N18" s="454">
        <f t="shared" ref="N18:N26" si="8">IF(B18="","",M18+ABS(MIN($M$17:$M$26))+1)</f>
        <v>5</v>
      </c>
      <c r="O18" s="453"/>
      <c r="P18" s="454">
        <f t="shared" ref="P18:P26" si="9">IF(B18="","",N18/SUM($N$17:$N$26))</f>
        <v>0.33333333333333331</v>
      </c>
      <c r="Q18" s="424"/>
      <c r="R18" s="448"/>
      <c r="S18" s="424"/>
      <c r="T18" s="424"/>
    </row>
    <row r="19" spans="1:20">
      <c r="A19" s="441">
        <v>3</v>
      </c>
      <c r="B19" s="442" t="str">
        <f>IF(F12="","",F12)</f>
        <v>Power</v>
      </c>
      <c r="C19" s="449">
        <f>-E17</f>
        <v>-1</v>
      </c>
      <c r="D19" s="451">
        <f>-E18</f>
        <v>-1</v>
      </c>
      <c r="E19" s="450"/>
      <c r="F19" s="451">
        <f t="shared" si="0"/>
        <v>0</v>
      </c>
      <c r="G19" s="451">
        <f t="shared" si="1"/>
        <v>0</v>
      </c>
      <c r="H19" s="451">
        <f t="shared" si="2"/>
        <v>0</v>
      </c>
      <c r="I19" s="451">
        <f t="shared" si="3"/>
        <v>0</v>
      </c>
      <c r="J19" s="451">
        <f t="shared" si="4"/>
        <v>0</v>
      </c>
      <c r="K19" s="451">
        <f t="shared" si="5"/>
        <v>0</v>
      </c>
      <c r="L19" s="452">
        <f t="shared" si="6"/>
        <v>0</v>
      </c>
      <c r="M19" s="453">
        <f t="shared" si="7"/>
        <v>-2</v>
      </c>
      <c r="N19" s="454">
        <f t="shared" si="8"/>
        <v>1</v>
      </c>
      <c r="O19" s="453"/>
      <c r="P19" s="454">
        <f t="shared" si="9"/>
        <v>6.6666666666666666E-2</v>
      </c>
      <c r="Q19" s="424"/>
      <c r="R19" s="448"/>
      <c r="S19" s="424"/>
      <c r="T19" s="424"/>
    </row>
    <row r="20" spans="1:20">
      <c r="A20" s="441">
        <v>4</v>
      </c>
      <c r="B20" s="442" t="str">
        <f>IF(H12="","",H12)</f>
        <v>Equilibrium temperature</v>
      </c>
      <c r="C20" s="449">
        <f>-F17</f>
        <v>-1</v>
      </c>
      <c r="D20" s="451">
        <f>-F18</f>
        <v>-1</v>
      </c>
      <c r="E20" s="451">
        <f>-F19</f>
        <v>0</v>
      </c>
      <c r="F20" s="450"/>
      <c r="G20" s="451">
        <f t="shared" si="1"/>
        <v>0</v>
      </c>
      <c r="H20" s="451">
        <f t="shared" si="2"/>
        <v>0</v>
      </c>
      <c r="I20" s="451">
        <f t="shared" si="3"/>
        <v>0</v>
      </c>
      <c r="J20" s="451">
        <f t="shared" si="4"/>
        <v>0</v>
      </c>
      <c r="K20" s="451">
        <f t="shared" si="5"/>
        <v>0</v>
      </c>
      <c r="L20" s="452">
        <f t="shared" si="6"/>
        <v>0</v>
      </c>
      <c r="M20" s="453">
        <f t="shared" si="7"/>
        <v>-2</v>
      </c>
      <c r="N20" s="454">
        <f t="shared" si="8"/>
        <v>1</v>
      </c>
      <c r="O20" s="453"/>
      <c r="P20" s="454">
        <f t="shared" si="9"/>
        <v>6.6666666666666666E-2</v>
      </c>
      <c r="Q20" s="424"/>
      <c r="R20" s="448"/>
      <c r="S20" s="424"/>
      <c r="T20" s="424"/>
    </row>
    <row r="21" spans="1:20">
      <c r="A21" s="441">
        <v>5</v>
      </c>
      <c r="B21" s="442" t="str">
        <f>IF(J12="","",J12)</f>
        <v>E</v>
      </c>
      <c r="C21" s="449">
        <f>-G17</f>
        <v>-1</v>
      </c>
      <c r="D21" s="451">
        <f>-G18</f>
        <v>-1</v>
      </c>
      <c r="E21" s="451">
        <f>-G19</f>
        <v>0</v>
      </c>
      <c r="F21" s="451">
        <f>-G20</f>
        <v>0</v>
      </c>
      <c r="G21" s="450"/>
      <c r="H21" s="451">
        <f t="shared" si="2"/>
        <v>0</v>
      </c>
      <c r="I21" s="451">
        <f t="shared" si="3"/>
        <v>0</v>
      </c>
      <c r="J21" s="451">
        <f t="shared" si="4"/>
        <v>0</v>
      </c>
      <c r="K21" s="451">
        <f t="shared" si="5"/>
        <v>0</v>
      </c>
      <c r="L21" s="452">
        <f t="shared" si="6"/>
        <v>0</v>
      </c>
      <c r="M21" s="453">
        <f t="shared" si="7"/>
        <v>-2</v>
      </c>
      <c r="N21" s="454">
        <f t="shared" si="8"/>
        <v>1</v>
      </c>
      <c r="O21" s="453"/>
      <c r="P21" s="454">
        <f t="shared" si="9"/>
        <v>6.6666666666666666E-2</v>
      </c>
      <c r="Q21" s="424"/>
      <c r="R21" s="448"/>
      <c r="S21" s="424"/>
      <c r="T21" s="424"/>
    </row>
    <row r="22" spans="1:20">
      <c r="A22" s="441">
        <v>6</v>
      </c>
      <c r="B22" s="442" t="str">
        <f>IF(L12="","",L12)</f>
        <v/>
      </c>
      <c r="C22" s="449">
        <f>-H17</f>
        <v>0</v>
      </c>
      <c r="D22" s="451">
        <f>-H18</f>
        <v>0</v>
      </c>
      <c r="E22" s="451">
        <f>-H19</f>
        <v>0</v>
      </c>
      <c r="F22" s="451">
        <f>-H20</f>
        <v>0</v>
      </c>
      <c r="G22" s="451">
        <f>-H21</f>
        <v>0</v>
      </c>
      <c r="H22" s="450"/>
      <c r="I22" s="451">
        <f t="shared" si="3"/>
        <v>0</v>
      </c>
      <c r="J22" s="451">
        <f t="shared" si="4"/>
        <v>0</v>
      </c>
      <c r="K22" s="451">
        <f t="shared" si="5"/>
        <v>0</v>
      </c>
      <c r="L22" s="452">
        <f t="shared" si="6"/>
        <v>0</v>
      </c>
      <c r="M22" s="453" t="str">
        <f t="shared" si="7"/>
        <v/>
      </c>
      <c r="N22" s="454" t="str">
        <f>IF(B22="","",M22+ABS(MIN($M$17:$M$26))+1)</f>
        <v/>
      </c>
      <c r="O22" s="453"/>
      <c r="P22" s="454" t="str">
        <f t="shared" si="9"/>
        <v/>
      </c>
      <c r="Q22" s="424"/>
      <c r="R22" s="448"/>
      <c r="S22" s="424"/>
      <c r="T22" s="424"/>
    </row>
    <row r="23" spans="1:20">
      <c r="A23" s="441">
        <v>7</v>
      </c>
      <c r="B23" s="442" t="str">
        <f>IF(N12="","",N12)</f>
        <v/>
      </c>
      <c r="C23" s="449">
        <f>-I17</f>
        <v>0</v>
      </c>
      <c r="D23" s="451">
        <f>-I18</f>
        <v>0</v>
      </c>
      <c r="E23" s="451">
        <f>-I19</f>
        <v>0</v>
      </c>
      <c r="F23" s="451">
        <f>-I20</f>
        <v>0</v>
      </c>
      <c r="G23" s="451">
        <f>-I21</f>
        <v>0</v>
      </c>
      <c r="H23" s="451">
        <f>-I22</f>
        <v>0</v>
      </c>
      <c r="I23" s="450"/>
      <c r="J23" s="451">
        <f t="shared" si="4"/>
        <v>0</v>
      </c>
      <c r="K23" s="451">
        <f t="shared" si="5"/>
        <v>0</v>
      </c>
      <c r="L23" s="452">
        <f t="shared" si="6"/>
        <v>0</v>
      </c>
      <c r="M23" s="453" t="str">
        <f t="shared" si="7"/>
        <v/>
      </c>
      <c r="N23" s="454" t="str">
        <f t="shared" si="8"/>
        <v/>
      </c>
      <c r="O23" s="453"/>
      <c r="P23" s="454" t="str">
        <f t="shared" si="9"/>
        <v/>
      </c>
      <c r="Q23" s="424"/>
      <c r="R23" s="448"/>
      <c r="S23" s="424"/>
      <c r="T23" s="424"/>
    </row>
    <row r="24" spans="1:20">
      <c r="A24" s="441">
        <v>8</v>
      </c>
      <c r="B24" s="442" t="str">
        <f>IF(P12="","",P12)</f>
        <v/>
      </c>
      <c r="C24" s="449">
        <f>-J17</f>
        <v>0</v>
      </c>
      <c r="D24" s="451">
        <f>-J18</f>
        <v>0</v>
      </c>
      <c r="E24" s="451">
        <f>-J19</f>
        <v>0</v>
      </c>
      <c r="F24" s="451">
        <f>-J20</f>
        <v>0</v>
      </c>
      <c r="G24" s="451">
        <f>-J21</f>
        <v>0</v>
      </c>
      <c r="H24" s="451">
        <f>-J22</f>
        <v>0</v>
      </c>
      <c r="I24" s="451">
        <f>-J23</f>
        <v>0</v>
      </c>
      <c r="J24" s="450"/>
      <c r="K24" s="451">
        <f t="shared" si="5"/>
        <v>0</v>
      </c>
      <c r="L24" s="452">
        <f t="shared" si="6"/>
        <v>0</v>
      </c>
      <c r="M24" s="453" t="str">
        <f t="shared" si="7"/>
        <v/>
      </c>
      <c r="N24" s="454" t="str">
        <f t="shared" si="8"/>
        <v/>
      </c>
      <c r="O24" s="453"/>
      <c r="P24" s="454" t="str">
        <f t="shared" si="9"/>
        <v/>
      </c>
      <c r="Q24" s="424"/>
      <c r="R24" s="448"/>
      <c r="S24" s="424"/>
      <c r="T24" s="424"/>
    </row>
    <row r="25" spans="1:20">
      <c r="A25" s="441">
        <v>9</v>
      </c>
      <c r="B25" s="442" t="str">
        <f>IF(R12="","",R12)</f>
        <v/>
      </c>
      <c r="C25" s="449">
        <f>-K17</f>
        <v>0</v>
      </c>
      <c r="D25" s="451">
        <f>-K18</f>
        <v>0</v>
      </c>
      <c r="E25" s="451">
        <f>-K19</f>
        <v>0</v>
      </c>
      <c r="F25" s="451">
        <f>-K20</f>
        <v>0</v>
      </c>
      <c r="G25" s="451">
        <f>-K21</f>
        <v>0</v>
      </c>
      <c r="H25" s="451">
        <f>-K22</f>
        <v>0</v>
      </c>
      <c r="I25" s="451">
        <f>-K23</f>
        <v>0</v>
      </c>
      <c r="J25" s="451">
        <f>-K24</f>
        <v>0</v>
      </c>
      <c r="K25" s="450"/>
      <c r="L25" s="452">
        <f t="shared" si="6"/>
        <v>0</v>
      </c>
      <c r="M25" s="453" t="str">
        <f t="shared" si="7"/>
        <v/>
      </c>
      <c r="N25" s="454" t="str">
        <f t="shared" si="8"/>
        <v/>
      </c>
      <c r="O25" s="453"/>
      <c r="P25" s="454" t="str">
        <f t="shared" si="9"/>
        <v/>
      </c>
      <c r="Q25" s="424"/>
      <c r="R25" s="448"/>
      <c r="S25" s="424"/>
      <c r="T25" s="424"/>
    </row>
    <row r="26" spans="1:20" ht="15" thickBot="1">
      <c r="A26" s="455">
        <v>10</v>
      </c>
      <c r="B26" s="456" t="str">
        <f>IF(T12="","",T12)</f>
        <v/>
      </c>
      <c r="C26" s="457">
        <f>-L17</f>
        <v>0</v>
      </c>
      <c r="D26" s="458">
        <f>-L18</f>
        <v>0</v>
      </c>
      <c r="E26" s="458">
        <f>-L19</f>
        <v>0</v>
      </c>
      <c r="F26" s="458">
        <f>-L20</f>
        <v>0</v>
      </c>
      <c r="G26" s="458">
        <f>-L21</f>
        <v>0</v>
      </c>
      <c r="H26" s="458">
        <f>-L22</f>
        <v>0</v>
      </c>
      <c r="I26" s="458">
        <f>-L23</f>
        <v>0</v>
      </c>
      <c r="J26" s="458">
        <f>-L24</f>
        <v>0</v>
      </c>
      <c r="K26" s="458">
        <f>-L25</f>
        <v>0</v>
      </c>
      <c r="L26" s="459"/>
      <c r="M26" s="460" t="str">
        <f t="shared" si="7"/>
        <v/>
      </c>
      <c r="N26" s="461" t="str">
        <f t="shared" si="8"/>
        <v/>
      </c>
      <c r="O26" s="460"/>
      <c r="P26" s="461" t="str">
        <f t="shared" si="9"/>
        <v/>
      </c>
      <c r="Q26" s="424"/>
      <c r="R26" s="448"/>
      <c r="S26" s="424"/>
      <c r="T26" s="448"/>
    </row>
    <row r="27" spans="1:20">
      <c r="A27" s="424"/>
      <c r="B27" s="424"/>
      <c r="C27" s="424"/>
      <c r="D27" s="424"/>
      <c r="E27" s="424"/>
      <c r="F27" s="424"/>
      <c r="G27" s="424"/>
      <c r="H27" s="424"/>
      <c r="I27" s="424"/>
      <c r="J27" s="424"/>
      <c r="K27" s="424"/>
      <c r="L27" s="424"/>
      <c r="M27" s="424"/>
      <c r="N27" s="424"/>
      <c r="O27" s="424"/>
      <c r="P27" s="424"/>
      <c r="Q27" s="424"/>
      <c r="R27" s="424"/>
      <c r="S27" s="424"/>
      <c r="T27" s="424"/>
    </row>
    <row r="28" spans="1:20">
      <c r="A28" s="424"/>
      <c r="B28" s="424"/>
      <c r="C28" s="424"/>
      <c r="D28" s="424"/>
      <c r="E28" s="424"/>
      <c r="F28" s="424"/>
      <c r="G28" s="424"/>
      <c r="H28" s="424"/>
      <c r="I28" s="424"/>
      <c r="J28" s="424"/>
      <c r="K28" s="424"/>
      <c r="L28" s="424"/>
      <c r="M28" s="424"/>
      <c r="N28" s="424"/>
      <c r="O28" s="424"/>
      <c r="P28" s="448"/>
      <c r="Q28" s="448"/>
      <c r="R28" s="424"/>
      <c r="S28" s="424"/>
      <c r="T28" s="424"/>
    </row>
    <row r="29" spans="1:20" ht="15" thickBot="1">
      <c r="A29" s="428" t="s">
        <v>373</v>
      </c>
      <c r="B29" s="424"/>
      <c r="C29" s="424"/>
      <c r="D29" s="424"/>
      <c r="E29" s="424"/>
      <c r="F29" s="424"/>
      <c r="G29" s="424"/>
      <c r="H29" s="424"/>
      <c r="I29" s="424"/>
      <c r="J29" s="424"/>
      <c r="K29" s="424"/>
      <c r="L29" s="424"/>
      <c r="M29" s="424"/>
      <c r="N29" s="424"/>
      <c r="O29" s="424"/>
      <c r="P29" s="424"/>
      <c r="Q29" s="424"/>
      <c r="R29" s="424"/>
      <c r="S29" s="424"/>
      <c r="T29" s="424"/>
    </row>
    <row r="30" spans="1:20" ht="51.6" thickBot="1">
      <c r="A30" s="551" t="s">
        <v>346</v>
      </c>
      <c r="B30" s="553" t="s">
        <v>374</v>
      </c>
      <c r="C30" s="462" t="s">
        <v>375</v>
      </c>
      <c r="D30" s="463" t="s">
        <v>376</v>
      </c>
      <c r="E30" s="463" t="s">
        <v>377</v>
      </c>
      <c r="F30" s="463" t="s">
        <v>378</v>
      </c>
      <c r="G30" s="463" t="s">
        <v>379</v>
      </c>
      <c r="H30" s="463" t="s">
        <v>380</v>
      </c>
      <c r="I30" s="463" t="s">
        <v>381</v>
      </c>
      <c r="J30" s="463" t="s">
        <v>382</v>
      </c>
      <c r="K30" s="463" t="s">
        <v>383</v>
      </c>
      <c r="L30" s="463" t="s">
        <v>384</v>
      </c>
      <c r="M30" s="463" t="s">
        <v>385</v>
      </c>
      <c r="N30" s="463" t="s">
        <v>386</v>
      </c>
      <c r="O30" s="463" t="s">
        <v>387</v>
      </c>
      <c r="P30" s="463" t="s">
        <v>388</v>
      </c>
      <c r="Q30" s="463" t="s">
        <v>389</v>
      </c>
      <c r="R30" s="555" t="s">
        <v>390</v>
      </c>
      <c r="S30" s="424"/>
      <c r="T30" s="424"/>
    </row>
    <row r="31" spans="1:20" ht="37.200000000000003" thickBot="1">
      <c r="A31" s="552"/>
      <c r="B31" s="554"/>
      <c r="C31" s="464" t="s">
        <v>391</v>
      </c>
      <c r="D31" s="465" t="s">
        <v>392</v>
      </c>
      <c r="E31" s="465" t="s">
        <v>393</v>
      </c>
      <c r="F31" s="465" t="s">
        <v>394</v>
      </c>
      <c r="G31" s="465" t="s">
        <v>395</v>
      </c>
      <c r="H31" s="465" t="s">
        <v>396</v>
      </c>
      <c r="I31" s="465" t="s">
        <v>397</v>
      </c>
      <c r="J31" s="465" t="s">
        <v>398</v>
      </c>
      <c r="K31" s="465" t="s">
        <v>399</v>
      </c>
      <c r="L31" s="465" t="s">
        <v>400</v>
      </c>
      <c r="M31" s="465" t="s">
        <v>401</v>
      </c>
      <c r="N31" s="465" t="s">
        <v>402</v>
      </c>
      <c r="O31" s="465" t="s">
        <v>403</v>
      </c>
      <c r="P31" s="465" t="s">
        <v>404</v>
      </c>
      <c r="Q31" s="466" t="s">
        <v>405</v>
      </c>
      <c r="R31" s="556"/>
      <c r="S31" s="424"/>
      <c r="T31" s="424"/>
    </row>
    <row r="32" spans="1:20" ht="15" customHeight="1">
      <c r="A32" s="557" t="s">
        <v>412</v>
      </c>
      <c r="B32" s="441" t="str">
        <f>B17</f>
        <v>Mass</v>
      </c>
      <c r="C32" s="467">
        <v>3</v>
      </c>
      <c r="D32" s="468">
        <v>3</v>
      </c>
      <c r="E32" s="468">
        <v>3</v>
      </c>
      <c r="F32" s="468"/>
      <c r="G32" s="468"/>
      <c r="H32" s="468"/>
      <c r="I32" s="468"/>
      <c r="J32" s="468"/>
      <c r="K32" s="468"/>
      <c r="L32" s="468"/>
      <c r="M32" s="468"/>
      <c r="N32" s="468"/>
      <c r="O32" s="468"/>
      <c r="P32" s="468"/>
      <c r="Q32" s="469"/>
      <c r="R32" s="447">
        <f>IF(B17="",0,P17)</f>
        <v>0.46666666666666667</v>
      </c>
      <c r="S32" s="424"/>
      <c r="T32" s="424"/>
    </row>
    <row r="33" spans="1:28">
      <c r="A33" s="558"/>
      <c r="B33" s="441" t="str">
        <f t="shared" ref="B33:B41" si="10">B18</f>
        <v>Cost</v>
      </c>
      <c r="C33" s="470">
        <v>5</v>
      </c>
      <c r="D33" s="471">
        <v>7</v>
      </c>
      <c r="E33" s="471">
        <v>4</v>
      </c>
      <c r="F33" s="471"/>
      <c r="G33" s="471"/>
      <c r="H33" s="471"/>
      <c r="I33" s="471"/>
      <c r="J33" s="471"/>
      <c r="K33" s="471"/>
      <c r="L33" s="471"/>
      <c r="M33" s="471"/>
      <c r="N33" s="471"/>
      <c r="O33" s="471"/>
      <c r="P33" s="471"/>
      <c r="Q33" s="472"/>
      <c r="R33" s="454">
        <f t="shared" ref="R33:R41" si="11">IF(B18="",0,P18)</f>
        <v>0.33333333333333331</v>
      </c>
      <c r="S33" s="424"/>
      <c r="T33" s="424"/>
    </row>
    <row r="34" spans="1:28">
      <c r="A34" s="558"/>
      <c r="B34" s="441" t="str">
        <f t="shared" si="10"/>
        <v>Power</v>
      </c>
      <c r="C34" s="470">
        <v>8</v>
      </c>
      <c r="D34" s="471">
        <v>5</v>
      </c>
      <c r="E34" s="471">
        <v>2</v>
      </c>
      <c r="F34" s="471"/>
      <c r="G34" s="471"/>
      <c r="H34" s="471"/>
      <c r="I34" s="471"/>
      <c r="J34" s="471"/>
      <c r="K34" s="471"/>
      <c r="L34" s="471"/>
      <c r="M34" s="471"/>
      <c r="N34" s="471"/>
      <c r="O34" s="471"/>
      <c r="P34" s="471"/>
      <c r="Q34" s="472"/>
      <c r="R34" s="454">
        <f t="shared" si="11"/>
        <v>6.6666666666666666E-2</v>
      </c>
      <c r="S34" s="424"/>
      <c r="T34" s="424"/>
    </row>
    <row r="35" spans="1:28">
      <c r="A35" s="558"/>
      <c r="B35" s="441" t="str">
        <f t="shared" si="10"/>
        <v>Equilibrium temperature</v>
      </c>
      <c r="C35" s="470">
        <v>4</v>
      </c>
      <c r="D35" s="471">
        <v>3</v>
      </c>
      <c r="E35" s="471">
        <v>1</v>
      </c>
      <c r="F35" s="471"/>
      <c r="G35" s="471"/>
      <c r="H35" s="471"/>
      <c r="I35" s="471"/>
      <c r="J35" s="471"/>
      <c r="K35" s="471"/>
      <c r="L35" s="471"/>
      <c r="M35" s="471"/>
      <c r="N35" s="471"/>
      <c r="O35" s="471"/>
      <c r="P35" s="471"/>
      <c r="Q35" s="472"/>
      <c r="R35" s="454">
        <f t="shared" si="11"/>
        <v>6.6666666666666666E-2</v>
      </c>
      <c r="S35" s="424"/>
      <c r="T35" s="424"/>
    </row>
    <row r="36" spans="1:28">
      <c r="A36" s="558"/>
      <c r="B36" s="441" t="str">
        <f t="shared" si="10"/>
        <v>E</v>
      </c>
      <c r="C36" s="470"/>
      <c r="D36" s="471"/>
      <c r="E36" s="471"/>
      <c r="F36" s="471"/>
      <c r="G36" s="471"/>
      <c r="H36" s="471"/>
      <c r="I36" s="471"/>
      <c r="J36" s="471"/>
      <c r="K36" s="471"/>
      <c r="L36" s="471"/>
      <c r="M36" s="471"/>
      <c r="N36" s="471"/>
      <c r="O36" s="471"/>
      <c r="P36" s="471"/>
      <c r="Q36" s="472"/>
      <c r="R36" s="454">
        <f t="shared" si="11"/>
        <v>6.6666666666666666E-2</v>
      </c>
      <c r="S36" s="424"/>
      <c r="T36" s="424"/>
    </row>
    <row r="37" spans="1:28">
      <c r="A37" s="558"/>
      <c r="B37" s="441" t="str">
        <f t="shared" si="10"/>
        <v/>
      </c>
      <c r="C37" s="470"/>
      <c r="D37" s="471"/>
      <c r="E37" s="471"/>
      <c r="F37" s="471"/>
      <c r="G37" s="471"/>
      <c r="H37" s="471"/>
      <c r="I37" s="471"/>
      <c r="J37" s="471"/>
      <c r="K37" s="471"/>
      <c r="L37" s="471"/>
      <c r="M37" s="471"/>
      <c r="N37" s="471"/>
      <c r="O37" s="471"/>
      <c r="P37" s="471"/>
      <c r="Q37" s="472"/>
      <c r="R37" s="454">
        <f t="shared" si="11"/>
        <v>0</v>
      </c>
      <c r="S37" s="424"/>
      <c r="T37" s="424"/>
    </row>
    <row r="38" spans="1:28">
      <c r="A38" s="558"/>
      <c r="B38" s="441" t="str">
        <f t="shared" si="10"/>
        <v/>
      </c>
      <c r="C38" s="470"/>
      <c r="D38" s="471"/>
      <c r="E38" s="471"/>
      <c r="F38" s="474"/>
      <c r="G38" s="471"/>
      <c r="H38" s="471"/>
      <c r="I38" s="471"/>
      <c r="J38" s="471"/>
      <c r="K38" s="471"/>
      <c r="L38" s="471"/>
      <c r="M38" s="471"/>
      <c r="N38" s="471"/>
      <c r="O38" s="471"/>
      <c r="P38" s="471"/>
      <c r="Q38" s="472"/>
      <c r="R38" s="454">
        <f t="shared" si="11"/>
        <v>0</v>
      </c>
      <c r="S38" s="424"/>
      <c r="T38" s="424"/>
    </row>
    <row r="39" spans="1:28">
      <c r="A39" s="558"/>
      <c r="B39" s="441" t="str">
        <f t="shared" si="10"/>
        <v/>
      </c>
      <c r="C39" s="470"/>
      <c r="D39" s="471"/>
      <c r="E39" s="471"/>
      <c r="F39" s="471"/>
      <c r="G39" s="471"/>
      <c r="H39" s="471"/>
      <c r="I39" s="471"/>
      <c r="J39" s="471"/>
      <c r="K39" s="471"/>
      <c r="L39" s="471"/>
      <c r="M39" s="471"/>
      <c r="N39" s="471"/>
      <c r="O39" s="471"/>
      <c r="P39" s="471"/>
      <c r="Q39" s="472"/>
      <c r="R39" s="454">
        <f t="shared" si="11"/>
        <v>0</v>
      </c>
      <c r="S39" s="424"/>
      <c r="T39" s="424"/>
    </row>
    <row r="40" spans="1:28">
      <c r="A40" s="558"/>
      <c r="B40" s="441" t="str">
        <f t="shared" si="10"/>
        <v/>
      </c>
      <c r="C40" s="470"/>
      <c r="D40" s="471"/>
      <c r="E40" s="471"/>
      <c r="F40" s="471"/>
      <c r="G40" s="471"/>
      <c r="H40" s="471"/>
      <c r="I40" s="471"/>
      <c r="J40" s="471"/>
      <c r="K40" s="471"/>
      <c r="L40" s="471"/>
      <c r="M40" s="471"/>
      <c r="N40" s="471"/>
      <c r="O40" s="471"/>
      <c r="P40" s="471"/>
      <c r="Q40" s="472"/>
      <c r="R40" s="454">
        <f t="shared" si="11"/>
        <v>0</v>
      </c>
      <c r="S40" s="424"/>
      <c r="T40" s="424"/>
    </row>
    <row r="41" spans="1:28" ht="15" thickBot="1">
      <c r="A41" s="559"/>
      <c r="B41" s="441" t="str">
        <f t="shared" si="10"/>
        <v/>
      </c>
      <c r="C41" s="475"/>
      <c r="D41" s="476"/>
      <c r="E41" s="476"/>
      <c r="F41" s="476"/>
      <c r="G41" s="476"/>
      <c r="H41" s="476"/>
      <c r="I41" s="476"/>
      <c r="J41" s="476"/>
      <c r="K41" s="476"/>
      <c r="L41" s="476"/>
      <c r="M41" s="476"/>
      <c r="N41" s="476"/>
      <c r="O41" s="476"/>
      <c r="P41" s="476"/>
      <c r="Q41" s="477"/>
      <c r="R41" s="461">
        <f t="shared" si="11"/>
        <v>0</v>
      </c>
      <c r="S41" s="424"/>
      <c r="T41" s="424"/>
    </row>
    <row r="42" spans="1:28" ht="15" thickBot="1">
      <c r="A42" s="441"/>
      <c r="B42" s="478" t="s">
        <v>370</v>
      </c>
      <c r="C42" s="479">
        <f>C32*$R32+C33*$R33+C34*$R34+C35*$R35+C36*$R36+C37*$R37+C38*$R38+C39*$R39+C40*$R40+C41*$R41</f>
        <v>3.8666666666666663</v>
      </c>
      <c r="D42" s="480">
        <f t="shared" ref="D42:Q42" si="12">D32*$R32+D33*$R33+D34*$R34+D35*$R35+D36*$R36+D37*$R37+D38*$R38+D39*$R39+D40*$R40+D41*$R41</f>
        <v>4.2666666666666666</v>
      </c>
      <c r="E42" s="480">
        <f t="shared" si="12"/>
        <v>2.9333333333333336</v>
      </c>
      <c r="F42" s="480">
        <f t="shared" si="12"/>
        <v>0</v>
      </c>
      <c r="G42" s="480">
        <f t="shared" si="12"/>
        <v>0</v>
      </c>
      <c r="H42" s="480">
        <f t="shared" si="12"/>
        <v>0</v>
      </c>
      <c r="I42" s="480">
        <f t="shared" si="12"/>
        <v>0</v>
      </c>
      <c r="J42" s="480">
        <f t="shared" si="12"/>
        <v>0</v>
      </c>
      <c r="K42" s="480">
        <f t="shared" si="12"/>
        <v>0</v>
      </c>
      <c r="L42" s="480">
        <f t="shared" si="12"/>
        <v>0</v>
      </c>
      <c r="M42" s="480">
        <f t="shared" si="12"/>
        <v>0</v>
      </c>
      <c r="N42" s="480">
        <f t="shared" si="12"/>
        <v>0</v>
      </c>
      <c r="O42" s="480">
        <f t="shared" si="12"/>
        <v>0</v>
      </c>
      <c r="P42" s="480">
        <f t="shared" si="12"/>
        <v>0</v>
      </c>
      <c r="Q42" s="481">
        <f t="shared" si="12"/>
        <v>0</v>
      </c>
      <c r="R42" s="482"/>
      <c r="S42" s="424"/>
      <c r="T42" s="424"/>
    </row>
    <row r="43" spans="1:28" ht="15" thickBot="1">
      <c r="A43" s="455"/>
      <c r="B43" s="483" t="s">
        <v>406</v>
      </c>
      <c r="C43" s="484">
        <f>RANK(C42,$C42:$Q42)</f>
        <v>2</v>
      </c>
      <c r="D43" s="485">
        <f t="shared" ref="D43:Q43" si="13">RANK(D42,$C42:$Q42)</f>
        <v>1</v>
      </c>
      <c r="E43" s="485">
        <f t="shared" si="13"/>
        <v>3</v>
      </c>
      <c r="F43" s="485">
        <f t="shared" si="13"/>
        <v>4</v>
      </c>
      <c r="G43" s="485">
        <f t="shared" si="13"/>
        <v>4</v>
      </c>
      <c r="H43" s="485">
        <f t="shared" si="13"/>
        <v>4</v>
      </c>
      <c r="I43" s="485">
        <f t="shared" si="13"/>
        <v>4</v>
      </c>
      <c r="J43" s="485">
        <f t="shared" si="13"/>
        <v>4</v>
      </c>
      <c r="K43" s="485">
        <f t="shared" si="13"/>
        <v>4</v>
      </c>
      <c r="L43" s="485">
        <f t="shared" si="13"/>
        <v>4</v>
      </c>
      <c r="M43" s="485">
        <f t="shared" si="13"/>
        <v>4</v>
      </c>
      <c r="N43" s="485">
        <f t="shared" si="13"/>
        <v>4</v>
      </c>
      <c r="O43" s="485">
        <f t="shared" si="13"/>
        <v>4</v>
      </c>
      <c r="P43" s="485">
        <f t="shared" si="13"/>
        <v>4</v>
      </c>
      <c r="Q43" s="486">
        <f t="shared" si="13"/>
        <v>4</v>
      </c>
      <c r="R43" s="487"/>
      <c r="S43" s="424"/>
      <c r="T43" s="424"/>
    </row>
    <row r="44" spans="1:28">
      <c r="A44" s="424"/>
      <c r="B44" s="424"/>
      <c r="C44" s="424"/>
      <c r="D44" s="424"/>
      <c r="E44" s="424"/>
      <c r="F44" s="424"/>
      <c r="G44" s="424"/>
      <c r="H44" s="424"/>
      <c r="I44" s="424"/>
      <c r="J44" s="424"/>
      <c r="K44" s="424"/>
      <c r="L44" s="424"/>
      <c r="M44" s="424"/>
      <c r="N44" s="424"/>
      <c r="O44" s="424"/>
      <c r="P44" s="424"/>
      <c r="Q44" s="424"/>
      <c r="R44" s="424"/>
      <c r="S44" s="424"/>
      <c r="T44" s="424"/>
    </row>
    <row r="45" spans="1:28" ht="15" thickBot="1">
      <c r="A45" s="424"/>
      <c r="B45" s="424"/>
      <c r="C45" s="424"/>
      <c r="D45" s="424"/>
      <c r="E45" s="424"/>
      <c r="F45" s="424"/>
      <c r="G45" s="424"/>
      <c r="H45" s="424"/>
      <c r="I45" s="424"/>
      <c r="J45" s="424"/>
      <c r="K45" s="424"/>
      <c r="L45" s="424"/>
      <c r="M45" s="424"/>
      <c r="N45" s="424"/>
      <c r="O45" s="424"/>
      <c r="P45" s="424"/>
      <c r="Q45" s="424"/>
      <c r="R45" s="424"/>
      <c r="S45" s="424"/>
      <c r="T45" s="424"/>
    </row>
    <row r="46" spans="1:28">
      <c r="A46" s="424"/>
      <c r="B46" s="424"/>
      <c r="C46" s="424"/>
      <c r="D46" s="424"/>
      <c r="E46" s="424"/>
      <c r="F46" s="424"/>
      <c r="G46" s="424"/>
      <c r="H46" s="424"/>
      <c r="I46" s="424"/>
      <c r="J46" s="424"/>
      <c r="K46" s="424"/>
      <c r="L46" s="424"/>
      <c r="M46" s="424"/>
      <c r="N46" s="424"/>
      <c r="O46" s="424"/>
      <c r="P46" s="424"/>
      <c r="Q46" s="424"/>
      <c r="R46" s="424"/>
      <c r="S46" s="424"/>
      <c r="T46" s="488" t="s">
        <v>413</v>
      </c>
      <c r="U46" s="489"/>
      <c r="V46" s="489"/>
      <c r="W46" s="489"/>
      <c r="X46" s="489"/>
      <c r="Y46" s="489"/>
      <c r="Z46" s="489"/>
      <c r="AA46" s="489"/>
      <c r="AB46" s="490"/>
    </row>
    <row r="47" spans="1:28">
      <c r="A47" s="424"/>
      <c r="B47" s="424"/>
      <c r="C47" s="424"/>
      <c r="D47" s="424"/>
      <c r="E47" s="424"/>
      <c r="F47" s="424"/>
      <c r="G47" s="424"/>
      <c r="H47" s="424"/>
      <c r="I47" s="424"/>
      <c r="J47" s="424"/>
      <c r="K47" s="424"/>
      <c r="L47" s="424"/>
      <c r="M47" s="424"/>
      <c r="N47" s="424"/>
      <c r="O47" s="424"/>
      <c r="P47" s="424"/>
      <c r="Q47" s="424"/>
      <c r="R47" s="424"/>
      <c r="S47" s="424"/>
      <c r="T47" s="491" t="s">
        <v>414</v>
      </c>
      <c r="U47" s="492"/>
      <c r="V47" s="492"/>
      <c r="W47" s="492"/>
      <c r="X47" s="492"/>
      <c r="Y47" s="492"/>
      <c r="Z47" s="492"/>
      <c r="AA47" s="492"/>
      <c r="AB47" s="493"/>
    </row>
    <row r="48" spans="1:28">
      <c r="A48" s="424"/>
      <c r="B48" s="424"/>
      <c r="C48" s="424"/>
      <c r="D48" s="424"/>
      <c r="E48" s="424"/>
      <c r="F48" s="424"/>
      <c r="G48" s="424"/>
      <c r="H48" s="424"/>
      <c r="I48" s="424"/>
      <c r="J48" s="424"/>
      <c r="K48" s="424"/>
      <c r="L48" s="424"/>
      <c r="M48" s="424"/>
      <c r="N48" s="424"/>
      <c r="O48" s="424"/>
      <c r="P48" s="424"/>
      <c r="Q48" s="424"/>
      <c r="R48" s="424"/>
      <c r="S48" s="424"/>
      <c r="T48" s="491" t="s">
        <v>415</v>
      </c>
      <c r="U48" s="492"/>
      <c r="V48" s="492"/>
      <c r="W48" s="492"/>
      <c r="X48" s="492"/>
      <c r="Y48" s="492"/>
      <c r="Z48" s="492"/>
      <c r="AA48" s="492"/>
      <c r="AB48" s="493"/>
    </row>
    <row r="49" spans="1:28">
      <c r="A49" s="424"/>
      <c r="B49" s="424"/>
      <c r="C49" s="424"/>
      <c r="D49" s="424"/>
      <c r="E49" s="424"/>
      <c r="F49" s="424"/>
      <c r="G49" s="424"/>
      <c r="H49" s="424"/>
      <c r="I49" s="424"/>
      <c r="J49" s="424"/>
      <c r="K49" s="424"/>
      <c r="L49" s="424"/>
      <c r="M49" s="424"/>
      <c r="N49" s="424"/>
      <c r="O49" s="424"/>
      <c r="P49" s="424"/>
      <c r="Q49" s="424"/>
      <c r="R49" s="424"/>
      <c r="S49" s="424"/>
      <c r="T49" s="491" t="s">
        <v>416</v>
      </c>
      <c r="U49" s="492"/>
      <c r="V49" s="492"/>
      <c r="W49" s="492"/>
      <c r="X49" s="492"/>
      <c r="Y49" s="492"/>
      <c r="Z49" s="492"/>
      <c r="AA49" s="492"/>
      <c r="AB49" s="493"/>
    </row>
    <row r="50" spans="1:28">
      <c r="A50" s="424"/>
      <c r="B50" s="424"/>
      <c r="C50" s="424"/>
      <c r="D50" s="424"/>
      <c r="E50" s="424"/>
      <c r="F50" s="424"/>
      <c r="G50" s="424"/>
      <c r="H50" s="424"/>
      <c r="I50" s="424"/>
      <c r="J50" s="424"/>
      <c r="K50" s="424"/>
      <c r="L50" s="424"/>
      <c r="M50" s="424"/>
      <c r="N50" s="424"/>
      <c r="O50" s="424"/>
      <c r="P50" s="424"/>
      <c r="Q50" s="424"/>
      <c r="R50" s="424"/>
      <c r="S50" s="424"/>
      <c r="T50" s="491" t="s">
        <v>417</v>
      </c>
      <c r="U50" s="492"/>
      <c r="V50" s="492"/>
      <c r="W50" s="492"/>
      <c r="X50" s="492"/>
      <c r="Y50" s="492"/>
      <c r="Z50" s="492"/>
      <c r="AA50" s="492"/>
      <c r="AB50" s="493"/>
    </row>
    <row r="51" spans="1:28">
      <c r="A51" s="424"/>
      <c r="B51" s="424"/>
      <c r="C51" s="424"/>
      <c r="D51" s="424"/>
      <c r="E51" s="424"/>
      <c r="F51" s="424"/>
      <c r="G51" s="424"/>
      <c r="H51" s="424"/>
      <c r="I51" s="424"/>
      <c r="J51" s="424"/>
      <c r="K51" s="424"/>
      <c r="L51" s="424"/>
      <c r="M51" s="424"/>
      <c r="N51" s="424"/>
      <c r="O51" s="424"/>
      <c r="P51" s="424"/>
      <c r="Q51" s="424"/>
      <c r="R51" s="424"/>
      <c r="S51" s="424"/>
      <c r="T51" s="491" t="s">
        <v>418</v>
      </c>
      <c r="U51" s="492"/>
      <c r="V51" s="492"/>
      <c r="W51" s="492"/>
      <c r="X51" s="492"/>
      <c r="Y51" s="492"/>
      <c r="Z51" s="492"/>
      <c r="AA51" s="492"/>
      <c r="AB51" s="493"/>
    </row>
    <row r="52" spans="1:28" ht="15" thickBot="1">
      <c r="A52" s="424"/>
      <c r="B52" s="424"/>
      <c r="C52" s="424"/>
      <c r="D52" s="424"/>
      <c r="E52" s="424"/>
      <c r="F52" s="424"/>
      <c r="G52" s="424"/>
      <c r="H52" s="424"/>
      <c r="I52" s="424"/>
      <c r="J52" s="424"/>
      <c r="K52" s="424"/>
      <c r="L52" s="424"/>
      <c r="M52" s="424"/>
      <c r="N52" s="424"/>
      <c r="O52" s="424"/>
      <c r="P52" s="424"/>
      <c r="Q52" s="424"/>
      <c r="R52" s="424"/>
      <c r="S52" s="424"/>
      <c r="T52" s="494" t="s">
        <v>419</v>
      </c>
      <c r="U52" s="495"/>
      <c r="V52" s="495"/>
      <c r="W52" s="495"/>
      <c r="X52" s="495"/>
      <c r="Y52" s="495"/>
      <c r="Z52" s="495"/>
      <c r="AA52" s="495"/>
      <c r="AB52" s="496"/>
    </row>
    <row r="53" spans="1:28">
      <c r="A53" s="424"/>
      <c r="B53" s="424"/>
      <c r="C53" s="424"/>
      <c r="D53" s="424"/>
      <c r="E53" s="424"/>
      <c r="F53" s="424"/>
      <c r="G53" s="424"/>
      <c r="H53" s="424"/>
      <c r="I53" s="424"/>
      <c r="J53" s="424"/>
      <c r="K53" s="424"/>
      <c r="L53" s="424"/>
      <c r="M53" s="424"/>
      <c r="N53" s="424"/>
      <c r="O53" s="424"/>
      <c r="P53" s="424"/>
      <c r="Q53" s="424"/>
      <c r="R53" s="424"/>
      <c r="S53" s="424"/>
      <c r="T53" s="426"/>
    </row>
    <row r="54" spans="1:28">
      <c r="A54" s="424"/>
      <c r="B54" s="424"/>
      <c r="C54" s="424"/>
      <c r="D54" s="424"/>
      <c r="E54" s="424"/>
      <c r="F54" s="424"/>
      <c r="G54" s="424"/>
      <c r="H54" s="424"/>
      <c r="I54" s="424"/>
      <c r="J54" s="424"/>
      <c r="K54" s="424"/>
      <c r="L54" s="424"/>
      <c r="M54" s="424"/>
      <c r="N54" s="424"/>
      <c r="O54" s="424"/>
      <c r="P54" s="424"/>
      <c r="Q54" s="424"/>
      <c r="R54" s="424"/>
      <c r="S54" s="424"/>
      <c r="T54" s="424"/>
    </row>
    <row r="55" spans="1:28">
      <c r="A55" s="424"/>
      <c r="B55" s="424"/>
      <c r="C55" s="424"/>
      <c r="D55" s="424"/>
      <c r="E55" s="424"/>
      <c r="F55" s="424"/>
      <c r="G55" s="424"/>
      <c r="H55" s="424"/>
      <c r="I55" s="424"/>
      <c r="J55" s="424"/>
      <c r="K55" s="424"/>
      <c r="L55" s="424"/>
      <c r="M55" s="424"/>
      <c r="N55" s="424"/>
      <c r="O55" s="424"/>
      <c r="P55" s="424"/>
      <c r="Q55" s="424"/>
      <c r="R55" s="424"/>
      <c r="S55" s="424"/>
      <c r="T55" s="424"/>
    </row>
    <row r="56" spans="1:28">
      <c r="A56" s="424"/>
      <c r="B56" s="424"/>
      <c r="C56" s="424"/>
      <c r="D56" s="424"/>
      <c r="E56" s="424"/>
      <c r="F56" s="424"/>
      <c r="G56" s="424"/>
      <c r="H56" s="424"/>
      <c r="I56" s="424"/>
      <c r="J56" s="424"/>
      <c r="K56" s="424"/>
      <c r="L56" s="424"/>
      <c r="M56" s="424"/>
      <c r="N56" s="424"/>
      <c r="O56" s="424"/>
      <c r="P56" s="424"/>
      <c r="Q56" s="424"/>
      <c r="R56" s="424"/>
      <c r="S56" s="424"/>
      <c r="T56" s="424"/>
    </row>
    <row r="57" spans="1:28">
      <c r="A57" s="424"/>
      <c r="B57" s="424"/>
      <c r="C57" s="424"/>
      <c r="D57" s="424"/>
      <c r="E57" s="424"/>
      <c r="F57" s="424"/>
      <c r="G57" s="424"/>
      <c r="H57" s="424"/>
      <c r="I57" s="424"/>
      <c r="J57" s="424"/>
      <c r="K57" s="424"/>
      <c r="L57" s="424"/>
      <c r="M57" s="424"/>
      <c r="N57" s="424"/>
      <c r="O57" s="424"/>
      <c r="P57" s="424"/>
      <c r="Q57" s="424"/>
      <c r="R57" s="424"/>
      <c r="S57" s="424"/>
      <c r="T57" s="424"/>
    </row>
    <row r="58" spans="1:28">
      <c r="A58" s="424"/>
      <c r="B58" s="424"/>
      <c r="C58" s="424"/>
      <c r="D58" s="424"/>
      <c r="E58" s="424"/>
      <c r="F58" s="424"/>
      <c r="G58" s="424"/>
      <c r="H58" s="424"/>
      <c r="I58" s="424"/>
      <c r="J58" s="424"/>
      <c r="K58" s="424"/>
      <c r="L58" s="424"/>
      <c r="M58" s="424"/>
      <c r="N58" s="424"/>
      <c r="O58" s="424"/>
      <c r="P58" s="424"/>
      <c r="Q58" s="424"/>
      <c r="R58" s="424"/>
      <c r="S58" s="424"/>
      <c r="T58" s="424"/>
    </row>
    <row r="59" spans="1:28">
      <c r="A59" s="424"/>
      <c r="B59" s="424"/>
      <c r="C59" s="424"/>
      <c r="D59" s="424"/>
      <c r="E59" s="424"/>
      <c r="F59" s="424"/>
      <c r="G59" s="424"/>
      <c r="H59" s="424"/>
      <c r="I59" s="424"/>
      <c r="J59" s="424"/>
      <c r="K59" s="424"/>
      <c r="L59" s="424"/>
      <c r="M59" s="424"/>
      <c r="N59" s="424"/>
      <c r="O59" s="424"/>
      <c r="P59" s="424"/>
      <c r="Q59" s="424"/>
      <c r="R59" s="424"/>
      <c r="S59" s="424"/>
      <c r="T59" s="424"/>
    </row>
    <row r="60" spans="1:28">
      <c r="A60" s="424"/>
      <c r="B60" s="424"/>
      <c r="C60" s="424"/>
      <c r="D60" s="424"/>
      <c r="E60" s="424"/>
      <c r="F60" s="424"/>
      <c r="G60" s="424"/>
      <c r="H60" s="424"/>
      <c r="I60" s="424"/>
      <c r="J60" s="424"/>
      <c r="K60" s="424"/>
      <c r="L60" s="424"/>
      <c r="M60" s="424"/>
      <c r="N60" s="424"/>
      <c r="O60" s="424"/>
      <c r="P60" s="424"/>
      <c r="Q60" s="424"/>
      <c r="R60" s="424"/>
      <c r="S60" s="424"/>
      <c r="T60" s="424"/>
    </row>
    <row r="61" spans="1:28">
      <c r="A61" s="424"/>
      <c r="B61" s="424"/>
      <c r="C61" s="424"/>
      <c r="D61" s="424"/>
      <c r="E61" s="424"/>
      <c r="F61" s="424"/>
      <c r="G61" s="424"/>
      <c r="H61" s="424"/>
      <c r="I61" s="424"/>
      <c r="J61" s="424"/>
      <c r="K61" s="424"/>
      <c r="L61" s="424"/>
      <c r="M61" s="424"/>
      <c r="N61" s="424"/>
      <c r="O61" s="424"/>
      <c r="P61" s="424"/>
      <c r="Q61" s="424"/>
      <c r="R61" s="424"/>
      <c r="S61" s="424"/>
      <c r="T61" s="424"/>
    </row>
    <row r="62" spans="1:28">
      <c r="A62" s="424"/>
      <c r="B62" s="424"/>
      <c r="C62" s="424"/>
      <c r="D62" s="424"/>
      <c r="E62" s="424"/>
      <c r="F62" s="424"/>
      <c r="G62" s="424"/>
      <c r="H62" s="424"/>
      <c r="I62" s="424"/>
      <c r="J62" s="424"/>
      <c r="K62" s="424"/>
      <c r="L62" s="424"/>
      <c r="M62" s="424"/>
      <c r="N62" s="424"/>
      <c r="O62" s="424"/>
      <c r="P62" s="424"/>
      <c r="Q62" s="424"/>
      <c r="R62" s="424"/>
      <c r="S62" s="424"/>
      <c r="T62" s="424"/>
    </row>
    <row r="63" spans="1:28">
      <c r="A63" s="424"/>
      <c r="B63" s="424"/>
      <c r="C63" s="424"/>
      <c r="D63" s="424"/>
      <c r="E63" s="424"/>
      <c r="F63" s="424"/>
      <c r="G63" s="424"/>
      <c r="H63" s="424"/>
      <c r="I63" s="424"/>
      <c r="J63" s="424"/>
      <c r="K63" s="424"/>
      <c r="L63" s="424"/>
      <c r="M63" s="424"/>
      <c r="N63" s="424"/>
      <c r="O63" s="424"/>
      <c r="P63" s="424"/>
      <c r="Q63" s="424"/>
      <c r="R63" s="424"/>
      <c r="S63" s="424"/>
      <c r="T63" s="424"/>
    </row>
    <row r="64" spans="1:28">
      <c r="A64" s="424"/>
      <c r="B64" s="424"/>
      <c r="C64" s="424"/>
      <c r="D64" s="424"/>
      <c r="E64" s="424"/>
      <c r="F64" s="424"/>
      <c r="G64" s="424"/>
      <c r="H64" s="424"/>
      <c r="I64" s="424"/>
      <c r="J64" s="424"/>
      <c r="K64" s="424"/>
      <c r="L64" s="424"/>
      <c r="M64" s="424"/>
      <c r="N64" s="424"/>
      <c r="O64" s="424"/>
      <c r="P64" s="424"/>
      <c r="Q64" s="424"/>
      <c r="R64" s="424"/>
      <c r="S64" s="424"/>
      <c r="T64" s="424"/>
    </row>
    <row r="65" spans="1:20">
      <c r="A65" s="424"/>
      <c r="B65" s="424"/>
      <c r="C65" s="424"/>
      <c r="D65" s="424"/>
      <c r="E65" s="424"/>
      <c r="F65" s="424"/>
      <c r="G65" s="424"/>
      <c r="H65" s="424"/>
      <c r="I65" s="424"/>
      <c r="J65" s="424"/>
      <c r="K65" s="424"/>
      <c r="L65" s="424"/>
      <c r="M65" s="424"/>
      <c r="N65" s="424"/>
      <c r="O65" s="424"/>
      <c r="P65" s="424"/>
      <c r="Q65" s="424"/>
      <c r="R65" s="424"/>
      <c r="S65" s="424"/>
      <c r="T65" s="424"/>
    </row>
    <row r="66" spans="1:20">
      <c r="A66" s="424"/>
      <c r="B66" s="424"/>
      <c r="C66" s="424"/>
      <c r="D66" s="424"/>
      <c r="E66" s="424"/>
      <c r="F66" s="424"/>
      <c r="G66" s="424"/>
      <c r="H66" s="424"/>
      <c r="I66" s="424"/>
      <c r="J66" s="424"/>
      <c r="K66" s="424"/>
      <c r="L66" s="424"/>
      <c r="M66" s="424"/>
      <c r="N66" s="424"/>
      <c r="O66" s="424"/>
      <c r="P66" s="424"/>
      <c r="Q66" s="424"/>
      <c r="R66" s="424"/>
      <c r="S66" s="424"/>
      <c r="T66" s="424"/>
    </row>
    <row r="67" spans="1:20">
      <c r="A67" s="424"/>
      <c r="B67" s="424"/>
      <c r="C67" s="424"/>
      <c r="D67" s="424"/>
      <c r="E67" s="424"/>
      <c r="F67" s="424"/>
      <c r="G67" s="424"/>
      <c r="H67" s="424"/>
      <c r="I67" s="424"/>
      <c r="J67" s="424"/>
      <c r="K67" s="424"/>
      <c r="L67" s="424"/>
      <c r="M67" s="424"/>
      <c r="N67" s="424"/>
      <c r="O67" s="424"/>
      <c r="P67" s="424"/>
      <c r="Q67" s="424"/>
      <c r="R67" s="424"/>
      <c r="S67" s="424"/>
      <c r="T67" s="424"/>
    </row>
    <row r="68" spans="1:20">
      <c r="A68" s="424"/>
      <c r="B68" s="424"/>
      <c r="C68" s="424"/>
      <c r="D68" s="424"/>
      <c r="E68" s="424"/>
      <c r="F68" s="424"/>
      <c r="G68" s="424"/>
      <c r="H68" s="424"/>
      <c r="I68" s="424"/>
      <c r="J68" s="424"/>
      <c r="K68" s="424"/>
      <c r="L68" s="424"/>
      <c r="M68" s="424"/>
      <c r="N68" s="424"/>
      <c r="O68" s="424"/>
      <c r="P68" s="424"/>
      <c r="Q68" s="424"/>
      <c r="R68" s="424"/>
      <c r="S68" s="424"/>
      <c r="T68" s="424"/>
    </row>
    <row r="69" spans="1:20">
      <c r="A69" s="424"/>
      <c r="B69" s="424"/>
      <c r="C69" s="424"/>
      <c r="D69" s="424"/>
      <c r="E69" s="424"/>
      <c r="F69" s="424"/>
      <c r="G69" s="424"/>
      <c r="H69" s="424"/>
      <c r="I69" s="424"/>
      <c r="J69" s="424"/>
      <c r="K69" s="424"/>
      <c r="L69" s="424"/>
      <c r="M69" s="424"/>
      <c r="N69" s="424"/>
      <c r="O69" s="424"/>
      <c r="P69" s="424"/>
      <c r="Q69" s="424"/>
      <c r="R69" s="424"/>
      <c r="S69" s="424"/>
      <c r="T69" s="424"/>
    </row>
    <row r="70" spans="1:20">
      <c r="A70" s="424"/>
      <c r="B70" s="424"/>
      <c r="C70" s="424"/>
      <c r="D70" s="424"/>
      <c r="E70" s="424"/>
      <c r="F70" s="424"/>
      <c r="G70" s="424"/>
      <c r="H70" s="424"/>
      <c r="I70" s="424"/>
      <c r="J70" s="424"/>
      <c r="K70" s="424"/>
      <c r="L70" s="424"/>
      <c r="M70" s="424"/>
      <c r="N70" s="424"/>
      <c r="O70" s="424"/>
      <c r="P70" s="424"/>
      <c r="Q70" s="424"/>
      <c r="R70" s="424"/>
      <c r="S70" s="424"/>
      <c r="T70" s="424"/>
    </row>
    <row r="71" spans="1:20">
      <c r="A71" s="424"/>
      <c r="B71" s="424"/>
      <c r="C71" s="424"/>
      <c r="D71" s="424"/>
      <c r="E71" s="424"/>
      <c r="F71" s="424"/>
      <c r="G71" s="424"/>
      <c r="H71" s="424"/>
      <c r="I71" s="424"/>
      <c r="J71" s="424"/>
      <c r="K71" s="424"/>
      <c r="L71" s="424"/>
      <c r="M71" s="424"/>
      <c r="N71" s="424"/>
      <c r="O71" s="424"/>
      <c r="P71" s="424"/>
      <c r="Q71" s="424"/>
      <c r="R71" s="424"/>
      <c r="S71" s="424"/>
      <c r="T71" s="424"/>
    </row>
    <row r="72" spans="1:20">
      <c r="A72" s="424"/>
      <c r="B72" s="424"/>
      <c r="C72" s="424"/>
      <c r="D72" s="424"/>
      <c r="E72" s="424"/>
      <c r="F72" s="424"/>
      <c r="G72" s="424"/>
      <c r="H72" s="424"/>
      <c r="I72" s="424"/>
      <c r="J72" s="424"/>
      <c r="K72" s="424"/>
      <c r="L72" s="424"/>
      <c r="M72" s="424"/>
      <c r="N72" s="424"/>
      <c r="O72" s="424"/>
      <c r="P72" s="424"/>
      <c r="Q72" s="424"/>
      <c r="R72" s="424"/>
      <c r="S72" s="424"/>
      <c r="T72" s="424"/>
    </row>
    <row r="73" spans="1:20">
      <c r="A73" s="424"/>
      <c r="B73" s="424"/>
      <c r="C73" s="424"/>
      <c r="D73" s="424"/>
      <c r="E73" s="424"/>
      <c r="F73" s="424"/>
      <c r="G73" s="424"/>
      <c r="H73" s="424"/>
      <c r="I73" s="424"/>
      <c r="J73" s="424"/>
      <c r="K73" s="424"/>
      <c r="L73" s="424"/>
      <c r="M73" s="424"/>
      <c r="N73" s="424"/>
      <c r="O73" s="424"/>
      <c r="P73" s="424"/>
      <c r="Q73" s="424"/>
      <c r="R73" s="424"/>
      <c r="S73" s="424"/>
      <c r="T73" s="424"/>
    </row>
    <row r="74" spans="1:20">
      <c r="A74" s="424"/>
      <c r="B74" s="424"/>
      <c r="C74" s="424"/>
      <c r="D74" s="424"/>
      <c r="E74" s="424"/>
      <c r="F74" s="424"/>
      <c r="G74" s="424"/>
      <c r="H74" s="424"/>
      <c r="I74" s="424"/>
      <c r="J74" s="424"/>
      <c r="K74" s="424"/>
      <c r="L74" s="424"/>
      <c r="M74" s="424"/>
      <c r="N74" s="424"/>
      <c r="O74" s="424"/>
      <c r="P74" s="424"/>
      <c r="Q74" s="424"/>
      <c r="R74" s="424"/>
      <c r="S74" s="424"/>
      <c r="T74" s="424"/>
    </row>
    <row r="75" spans="1:20">
      <c r="A75" s="424"/>
      <c r="B75" s="424"/>
      <c r="C75" s="424"/>
      <c r="D75" s="424"/>
      <c r="E75" s="424"/>
      <c r="F75" s="424"/>
      <c r="G75" s="424"/>
      <c r="H75" s="424"/>
      <c r="I75" s="424"/>
      <c r="J75" s="424"/>
      <c r="K75" s="424"/>
      <c r="L75" s="424"/>
      <c r="M75" s="424"/>
      <c r="N75" s="424"/>
      <c r="O75" s="424"/>
      <c r="P75" s="424"/>
      <c r="Q75" s="424"/>
      <c r="R75" s="424"/>
      <c r="S75" s="424"/>
      <c r="T75" s="424"/>
    </row>
    <row r="76" spans="1:20">
      <c r="A76" s="424"/>
      <c r="B76" s="424"/>
      <c r="C76" s="424"/>
      <c r="D76" s="424"/>
      <c r="E76" s="424"/>
      <c r="F76" s="424"/>
      <c r="G76" s="424"/>
      <c r="H76" s="424"/>
      <c r="I76" s="424"/>
      <c r="J76" s="424"/>
      <c r="K76" s="424"/>
      <c r="L76" s="424"/>
      <c r="M76" s="424"/>
      <c r="N76" s="424"/>
      <c r="O76" s="424"/>
      <c r="P76" s="424"/>
      <c r="Q76" s="424"/>
      <c r="R76" s="424"/>
      <c r="S76" s="424"/>
      <c r="T76" s="424"/>
    </row>
    <row r="77" spans="1:20">
      <c r="A77" s="424"/>
      <c r="B77" s="424"/>
      <c r="C77" s="424"/>
      <c r="D77" s="424"/>
      <c r="E77" s="424"/>
      <c r="F77" s="424"/>
      <c r="G77" s="424"/>
      <c r="H77" s="424"/>
      <c r="I77" s="424"/>
      <c r="J77" s="424"/>
      <c r="K77" s="424"/>
      <c r="L77" s="424"/>
      <c r="M77" s="424"/>
      <c r="N77" s="424"/>
      <c r="O77" s="424"/>
      <c r="P77" s="424"/>
      <c r="Q77" s="424"/>
      <c r="R77" s="424"/>
      <c r="S77" s="424"/>
      <c r="T77" s="424"/>
    </row>
    <row r="78" spans="1:20">
      <c r="A78" s="424"/>
      <c r="B78" s="424"/>
      <c r="C78" s="424"/>
      <c r="D78" s="424"/>
      <c r="E78" s="424"/>
      <c r="F78" s="424"/>
      <c r="G78" s="424"/>
      <c r="H78" s="424"/>
      <c r="I78" s="424"/>
      <c r="J78" s="424"/>
      <c r="K78" s="424"/>
      <c r="L78" s="424"/>
      <c r="M78" s="424"/>
      <c r="N78" s="424"/>
      <c r="O78" s="424"/>
      <c r="P78" s="424"/>
      <c r="Q78" s="424"/>
      <c r="R78" s="424"/>
      <c r="S78" s="424"/>
      <c r="T78" s="424"/>
    </row>
    <row r="79" spans="1:20">
      <c r="A79" s="424"/>
      <c r="B79" s="424"/>
      <c r="C79" s="424"/>
      <c r="D79" s="424"/>
      <c r="E79" s="424"/>
      <c r="F79" s="424"/>
      <c r="G79" s="424"/>
      <c r="H79" s="424"/>
      <c r="I79" s="424"/>
      <c r="J79" s="424"/>
      <c r="K79" s="424"/>
      <c r="L79" s="424"/>
      <c r="M79" s="424"/>
      <c r="N79" s="424"/>
      <c r="O79" s="424"/>
      <c r="P79" s="424"/>
      <c r="Q79" s="424"/>
      <c r="R79" s="424"/>
      <c r="S79" s="424"/>
      <c r="T79" s="424"/>
    </row>
    <row r="80" spans="1:20">
      <c r="A80" s="424"/>
      <c r="B80" s="424"/>
      <c r="C80" s="424"/>
      <c r="D80" s="424"/>
      <c r="E80" s="424"/>
      <c r="F80" s="424"/>
      <c r="G80" s="424"/>
      <c r="H80" s="424"/>
      <c r="I80" s="424"/>
      <c r="J80" s="424"/>
      <c r="K80" s="424"/>
      <c r="L80" s="424"/>
      <c r="M80" s="424"/>
      <c r="N80" s="424"/>
      <c r="O80" s="424"/>
      <c r="P80" s="424"/>
      <c r="Q80" s="424"/>
      <c r="R80" s="424"/>
      <c r="S80" s="424"/>
      <c r="T80" s="424"/>
    </row>
    <row r="81" spans="1:20">
      <c r="A81" s="424"/>
      <c r="B81" s="424"/>
      <c r="C81" s="424"/>
      <c r="D81" s="424"/>
      <c r="E81" s="424"/>
      <c r="F81" s="424"/>
      <c r="G81" s="424"/>
      <c r="H81" s="424"/>
      <c r="I81" s="424"/>
      <c r="J81" s="424"/>
      <c r="K81" s="424"/>
      <c r="L81" s="424"/>
      <c r="M81" s="424"/>
      <c r="N81" s="424"/>
      <c r="O81" s="424"/>
      <c r="P81" s="424"/>
      <c r="Q81" s="424"/>
      <c r="R81" s="424"/>
      <c r="S81" s="424"/>
      <c r="T81" s="424"/>
    </row>
    <row r="82" spans="1:20">
      <c r="A82" s="424"/>
      <c r="B82" s="424"/>
      <c r="C82" s="424"/>
      <c r="D82" s="424"/>
      <c r="E82" s="424"/>
      <c r="F82" s="424"/>
      <c r="G82" s="424"/>
      <c r="H82" s="424"/>
      <c r="I82" s="424"/>
      <c r="J82" s="424"/>
      <c r="K82" s="424"/>
      <c r="L82" s="424"/>
      <c r="M82" s="424"/>
      <c r="N82" s="424"/>
      <c r="O82" s="424"/>
      <c r="P82" s="424"/>
      <c r="Q82" s="424"/>
      <c r="R82" s="424"/>
      <c r="S82" s="424"/>
      <c r="T82" s="424"/>
    </row>
    <row r="83" spans="1:20">
      <c r="A83" s="424"/>
      <c r="B83" s="424"/>
      <c r="C83" s="424"/>
      <c r="D83" s="424"/>
      <c r="E83" s="424"/>
      <c r="F83" s="424"/>
      <c r="G83" s="424"/>
      <c r="H83" s="424"/>
      <c r="I83" s="424"/>
      <c r="J83" s="424"/>
      <c r="K83" s="424"/>
      <c r="L83" s="424"/>
      <c r="M83" s="424"/>
      <c r="N83" s="424"/>
      <c r="O83" s="424"/>
      <c r="P83" s="424"/>
      <c r="Q83" s="424"/>
      <c r="R83" s="424"/>
      <c r="S83" s="424"/>
      <c r="T83" s="424"/>
    </row>
    <row r="84" spans="1:20">
      <c r="A84" s="424"/>
      <c r="B84" s="424"/>
      <c r="C84" s="424"/>
      <c r="D84" s="424"/>
      <c r="E84" s="424"/>
      <c r="F84" s="424"/>
      <c r="G84" s="424"/>
      <c r="H84" s="424"/>
      <c r="I84" s="424"/>
      <c r="J84" s="424"/>
      <c r="K84" s="424"/>
      <c r="L84" s="424"/>
      <c r="M84" s="424"/>
      <c r="N84" s="424"/>
      <c r="O84" s="424"/>
      <c r="P84" s="424"/>
      <c r="Q84" s="424"/>
      <c r="R84" s="424"/>
      <c r="S84" s="424"/>
      <c r="T84" s="424"/>
    </row>
    <row r="85" spans="1:20">
      <c r="A85" s="424"/>
      <c r="B85" s="424"/>
      <c r="C85" s="424"/>
      <c r="D85" s="424"/>
      <c r="E85" s="424"/>
      <c r="F85" s="424"/>
      <c r="G85" s="424"/>
      <c r="H85" s="424"/>
      <c r="I85" s="424"/>
      <c r="J85" s="424"/>
      <c r="K85" s="424"/>
      <c r="L85" s="424"/>
      <c r="M85" s="424"/>
      <c r="N85" s="424"/>
      <c r="O85" s="424"/>
      <c r="P85" s="424"/>
      <c r="Q85" s="424"/>
      <c r="R85" s="424"/>
      <c r="S85" s="424"/>
      <c r="T85" s="424"/>
    </row>
    <row r="86" spans="1:20">
      <c r="A86" s="424"/>
      <c r="B86" s="424"/>
      <c r="C86" s="424"/>
      <c r="D86" s="424"/>
      <c r="E86" s="424"/>
      <c r="F86" s="424"/>
      <c r="G86" s="424"/>
      <c r="H86" s="424"/>
      <c r="I86" s="424"/>
      <c r="J86" s="424"/>
      <c r="K86" s="424"/>
      <c r="L86" s="424"/>
      <c r="M86" s="424"/>
      <c r="N86" s="424"/>
      <c r="O86" s="424"/>
      <c r="P86" s="424"/>
      <c r="Q86" s="424"/>
      <c r="R86" s="424"/>
      <c r="S86" s="424"/>
      <c r="T86" s="424"/>
    </row>
    <row r="87" spans="1:20">
      <c r="A87" s="424"/>
      <c r="B87" s="424"/>
      <c r="C87" s="424"/>
      <c r="D87" s="424"/>
      <c r="E87" s="424"/>
      <c r="F87" s="424"/>
      <c r="G87" s="424"/>
      <c r="H87" s="424"/>
      <c r="I87" s="424"/>
      <c r="J87" s="424"/>
      <c r="K87" s="424"/>
      <c r="L87" s="424"/>
      <c r="M87" s="424"/>
      <c r="N87" s="424"/>
      <c r="O87" s="424"/>
      <c r="P87" s="424"/>
      <c r="Q87" s="424"/>
      <c r="R87" s="424"/>
      <c r="S87" s="424"/>
      <c r="T87" s="424"/>
    </row>
    <row r="88" spans="1:20">
      <c r="A88" s="424"/>
      <c r="B88" s="424"/>
      <c r="C88" s="424"/>
      <c r="D88" s="424"/>
      <c r="E88" s="424"/>
      <c r="F88" s="424"/>
      <c r="G88" s="424"/>
      <c r="H88" s="424"/>
      <c r="I88" s="424"/>
      <c r="J88" s="424"/>
      <c r="K88" s="424"/>
      <c r="L88" s="424"/>
      <c r="M88" s="424"/>
      <c r="N88" s="424"/>
      <c r="O88" s="424"/>
      <c r="P88" s="424"/>
      <c r="Q88" s="424"/>
      <c r="R88" s="424"/>
      <c r="S88" s="424"/>
      <c r="T88" s="424"/>
    </row>
    <row r="89" spans="1:20">
      <c r="A89" s="424"/>
      <c r="B89" s="424"/>
      <c r="C89" s="424"/>
      <c r="D89" s="424"/>
      <c r="E89" s="424"/>
      <c r="F89" s="424"/>
      <c r="G89" s="424"/>
      <c r="H89" s="424"/>
      <c r="I89" s="424"/>
      <c r="J89" s="424"/>
      <c r="K89" s="424"/>
      <c r="L89" s="424"/>
      <c r="M89" s="424"/>
      <c r="N89" s="424"/>
      <c r="O89" s="424"/>
      <c r="P89" s="424"/>
      <c r="Q89" s="424"/>
      <c r="R89" s="424"/>
      <c r="S89" s="424"/>
      <c r="T89" s="424"/>
    </row>
  </sheetData>
  <mergeCells count="4">
    <mergeCell ref="A30:A31"/>
    <mergeCell ref="B30:B31"/>
    <mergeCell ref="R30:R31"/>
    <mergeCell ref="A32:A41"/>
  </mergeCells>
  <dataValidations count="1">
    <dataValidation type="list" allowBlank="1" showInputMessage="1" showErrorMessage="1" sqref="C12 E12 G12 I12 K12 M12 O12 Q12 S12">
      <formula1>$R$2:$R$3</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P137"/>
  <sheetViews>
    <sheetView zoomScale="70" zoomScaleNormal="70" workbookViewId="0">
      <selection activeCell="E7" sqref="E7"/>
    </sheetView>
  </sheetViews>
  <sheetFormatPr defaultColWidth="6.6328125" defaultRowHeight="13.2"/>
  <cols>
    <col min="1" max="1" width="23.453125" style="52" customWidth="1"/>
    <col min="2" max="2" width="11" style="52" bestFit="1" customWidth="1"/>
    <col min="3" max="3" width="8.453125" style="53" customWidth="1"/>
    <col min="4" max="4" width="15.6328125" style="12" bestFit="1" customWidth="1"/>
    <col min="5" max="5" width="17" style="12" bestFit="1" customWidth="1"/>
    <col min="6" max="6" width="18.36328125" style="12" bestFit="1" customWidth="1"/>
    <col min="7" max="7" width="9.81640625" style="12" bestFit="1" customWidth="1"/>
    <col min="8" max="8" width="17.81640625" style="12" bestFit="1" customWidth="1"/>
    <col min="9" max="9" width="9.90625" style="12" customWidth="1"/>
    <col min="10" max="10" width="4.08984375" style="12" customWidth="1"/>
    <col min="11" max="12" width="9.08984375" style="12" customWidth="1"/>
    <col min="13" max="13" width="7.6328125" style="12" customWidth="1"/>
    <col min="14" max="14" width="9.08984375" style="12" customWidth="1"/>
    <col min="15" max="18" width="7.6328125" style="12" customWidth="1"/>
    <col min="19" max="19" width="7.453125" style="12" customWidth="1"/>
    <col min="20" max="21" width="6.6328125" style="12"/>
    <col min="22" max="22" width="3.453125" style="12" customWidth="1"/>
    <col min="23" max="25" width="6.6328125" style="12"/>
    <col min="26" max="26" width="3.453125" style="12" customWidth="1"/>
    <col min="27" max="29" width="6.6328125" style="12"/>
    <col min="30" max="30" width="2" style="12" customWidth="1"/>
    <col min="31" max="34" width="6.6328125" style="12"/>
    <col min="35" max="35" width="3.453125" style="12" customWidth="1"/>
    <col min="36" max="38" width="6.6328125" style="12"/>
    <col min="39" max="39" width="3.453125" style="12" customWidth="1"/>
    <col min="40" max="42" width="6.6328125" style="12"/>
    <col min="43" max="43" width="2" style="12" customWidth="1"/>
    <col min="44" max="16384" width="6.6328125" style="12"/>
  </cols>
  <sheetData>
    <row r="1" spans="1:41" ht="32.4">
      <c r="A1" s="8" t="s">
        <v>158</v>
      </c>
      <c r="B1" s="9">
        <f>299792458</f>
        <v>299792458</v>
      </c>
      <c r="C1" s="10" t="s">
        <v>159</v>
      </c>
      <c r="D1" s="11"/>
      <c r="E1" s="497" t="s">
        <v>423</v>
      </c>
      <c r="F1" s="497"/>
      <c r="G1" s="497"/>
      <c r="H1" s="497"/>
      <c r="I1" s="497"/>
      <c r="J1" s="497"/>
      <c r="K1" s="497"/>
      <c r="L1" s="497"/>
      <c r="M1" s="497"/>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row>
    <row r="2" spans="1:41">
      <c r="A2" s="8" t="s">
        <v>160</v>
      </c>
      <c r="B2" s="9">
        <f>6.6260755E-34</f>
        <v>6.6260755E-34</v>
      </c>
      <c r="C2" s="10" t="s">
        <v>161</v>
      </c>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row>
    <row r="3" spans="1:41">
      <c r="A3" s="8" t="s">
        <v>162</v>
      </c>
      <c r="B3" s="9">
        <f>1.380658E-23</f>
        <v>1.3806580000000001E-23</v>
      </c>
      <c r="C3" s="10" t="s">
        <v>163</v>
      </c>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row>
    <row r="4" spans="1:41">
      <c r="A4" s="8" t="s">
        <v>164</v>
      </c>
      <c r="B4" s="9">
        <f>0.0000000567051</f>
        <v>5.6705100000000003E-8</v>
      </c>
      <c r="C4" s="13" t="s">
        <v>165</v>
      </c>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row>
    <row r="5" spans="1:41">
      <c r="A5" s="8"/>
      <c r="B5" s="8"/>
      <c r="C5" s="10"/>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row>
    <row r="6" spans="1:41">
      <c r="A6" s="14" t="s">
        <v>166</v>
      </c>
      <c r="B6" s="8">
        <f>6378.14</f>
        <v>6378.14</v>
      </c>
      <c r="C6" s="10" t="s">
        <v>167</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row>
    <row r="7" spans="1:41">
      <c r="A7" s="14" t="s">
        <v>168</v>
      </c>
      <c r="B7" s="8">
        <v>398600.5</v>
      </c>
      <c r="C7" s="10" t="s">
        <v>169</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row>
    <row r="8" spans="1:41">
      <c r="A8" s="14" t="s">
        <v>170</v>
      </c>
      <c r="B8" s="8">
        <v>1.08263E-3</v>
      </c>
      <c r="C8" s="10"/>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row>
    <row r="9" spans="1:41">
      <c r="A9" s="8" t="s">
        <v>171</v>
      </c>
      <c r="B9" s="15">
        <f>2*PI()*Earth_Radius/24/60/60*1000</f>
        <v>463.83142980479641</v>
      </c>
      <c r="C9" s="10" t="s">
        <v>159</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row>
    <row r="10" spans="1:41">
      <c r="A10" s="8" t="s">
        <v>172</v>
      </c>
      <c r="B10" s="16">
        <v>7960000000000000</v>
      </c>
      <c r="C10" s="10" t="s">
        <v>173</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row>
    <row r="11" spans="1:41">
      <c r="A11" s="8"/>
      <c r="B11" s="8"/>
      <c r="C11" s="10"/>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row>
    <row r="12" spans="1:41">
      <c r="A12" s="8" t="s">
        <v>174</v>
      </c>
      <c r="B12" s="9">
        <v>1367</v>
      </c>
      <c r="C12" s="10" t="s">
        <v>175</v>
      </c>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row>
    <row r="13" spans="1:41">
      <c r="A13" s="8" t="s">
        <v>176</v>
      </c>
      <c r="B13" s="8">
        <v>290</v>
      </c>
      <c r="C13" s="10" t="s">
        <v>177</v>
      </c>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row>
    <row r="14" spans="1:41">
      <c r="A14" s="8"/>
      <c r="B14" s="8"/>
      <c r="C14" s="10"/>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row>
    <row r="15" spans="1:41">
      <c r="A15" s="8" t="s">
        <v>178</v>
      </c>
      <c r="B15" s="8">
        <f>0.3048/12</f>
        <v>2.5400000000000002E-2</v>
      </c>
      <c r="C15" s="10" t="s">
        <v>28</v>
      </c>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row>
    <row r="16" spans="1:41">
      <c r="A16" s="8"/>
      <c r="B16" s="8"/>
      <c r="C16" s="10"/>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row>
    <row r="17" spans="1:42">
      <c r="A17" s="8"/>
      <c r="B17" s="8"/>
      <c r="C17" s="10"/>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row>
    <row r="18" spans="1:42">
      <c r="A18" s="17" t="s">
        <v>45</v>
      </c>
      <c r="B18" s="17" t="s">
        <v>179</v>
      </c>
      <c r="C18" s="17" t="s">
        <v>180</v>
      </c>
      <c r="D18" s="17" t="s">
        <v>181</v>
      </c>
      <c r="E18" s="17" t="s">
        <v>182</v>
      </c>
      <c r="F18" s="17" t="s">
        <v>183</v>
      </c>
      <c r="G18" s="17" t="s">
        <v>65</v>
      </c>
      <c r="H18" s="18"/>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row>
    <row r="19" spans="1:42">
      <c r="A19" s="19" t="s">
        <v>47</v>
      </c>
      <c r="B19" s="19">
        <v>2800</v>
      </c>
      <c r="C19" s="19">
        <v>524</v>
      </c>
      <c r="D19" s="19">
        <v>71</v>
      </c>
      <c r="E19" s="19">
        <v>448</v>
      </c>
      <c r="F19" s="19">
        <v>2.4000000000000001E-5</v>
      </c>
      <c r="G19" s="19">
        <v>0.33</v>
      </c>
      <c r="H19" s="18"/>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row>
    <row r="20" spans="1:42">
      <c r="A20" s="19" t="s">
        <v>184</v>
      </c>
      <c r="B20" s="19">
        <v>4500</v>
      </c>
      <c r="C20" s="19">
        <v>920</v>
      </c>
      <c r="D20" s="19">
        <v>115</v>
      </c>
      <c r="E20" s="19">
        <v>830</v>
      </c>
      <c r="F20" s="19">
        <v>8.3999999999999992E-6</v>
      </c>
      <c r="G20" s="19">
        <v>0.33</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row>
    <row r="21" spans="1:42">
      <c r="A21" s="19" t="s">
        <v>185</v>
      </c>
      <c r="B21" s="19">
        <v>1800</v>
      </c>
      <c r="C21" s="19">
        <v>230</v>
      </c>
      <c r="D21" s="19">
        <v>42</v>
      </c>
      <c r="E21" s="19">
        <v>130</v>
      </c>
      <c r="F21" s="19">
        <v>2.5999999999999998E-5</v>
      </c>
      <c r="G21" s="19">
        <v>0.33</v>
      </c>
      <c r="H21" s="20"/>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row>
    <row r="22" spans="1:42">
      <c r="A22" s="19" t="s">
        <v>186</v>
      </c>
      <c r="B22" s="19">
        <v>1840</v>
      </c>
      <c r="C22" s="19">
        <v>300</v>
      </c>
      <c r="D22" s="19">
        <v>300</v>
      </c>
      <c r="E22" s="19">
        <v>220</v>
      </c>
      <c r="F22" s="19">
        <v>2.5999999999999998E-5</v>
      </c>
      <c r="G22" s="19">
        <v>0.33</v>
      </c>
      <c r="H22" s="2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row>
    <row r="23" spans="1:42">
      <c r="A23" s="19" t="s">
        <v>187</v>
      </c>
      <c r="B23" s="19">
        <v>1800</v>
      </c>
      <c r="C23" s="19">
        <v>1000</v>
      </c>
      <c r="D23" s="19">
        <v>50</v>
      </c>
      <c r="E23" s="19">
        <v>750</v>
      </c>
      <c r="F23" s="19">
        <v>1.4E-5</v>
      </c>
      <c r="G23" s="19">
        <v>0.33</v>
      </c>
      <c r="H23" s="2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row>
    <row r="24" spans="1:42">
      <c r="A24" s="19" t="s">
        <v>188</v>
      </c>
      <c r="B24" s="19">
        <v>2000</v>
      </c>
      <c r="C24" s="19">
        <v>1300</v>
      </c>
      <c r="D24" s="19">
        <v>180</v>
      </c>
      <c r="E24" s="19">
        <v>1000</v>
      </c>
      <c r="F24" s="19">
        <v>8.3999999999999992E-6</v>
      </c>
      <c r="G24" s="19">
        <v>0.33</v>
      </c>
      <c r="H24" s="2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row>
    <row r="25" spans="1:42">
      <c r="A25" s="19" t="s">
        <v>189</v>
      </c>
      <c r="B25" s="19"/>
      <c r="C25" s="19"/>
      <c r="D25" s="19"/>
      <c r="E25" s="19"/>
      <c r="F25" s="19"/>
      <c r="G25" s="19"/>
      <c r="H25" s="2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row>
    <row r="26" spans="1:42">
      <c r="A26" s="19" t="s">
        <v>190</v>
      </c>
      <c r="B26" s="19"/>
      <c r="C26" s="19"/>
      <c r="D26" s="19"/>
      <c r="E26" s="19"/>
      <c r="F26" s="19"/>
      <c r="G26" s="19"/>
      <c r="H26" s="2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row>
    <row r="27" spans="1:42">
      <c r="A27" s="19" t="s">
        <v>191</v>
      </c>
      <c r="B27" s="19"/>
      <c r="C27" s="19"/>
      <c r="D27" s="19"/>
      <c r="E27" s="19"/>
      <c r="F27" s="19"/>
      <c r="G27" s="19"/>
      <c r="H27" s="2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row>
    <row r="28" spans="1:42">
      <c r="A28" s="8"/>
      <c r="B28" s="8"/>
      <c r="C28" s="10"/>
      <c r="D28" s="11"/>
      <c r="E28" s="11"/>
      <c r="F28" s="11"/>
      <c r="G28" s="11"/>
      <c r="H28" s="2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row>
    <row r="29" spans="1:42">
      <c r="A29" s="18" t="s">
        <v>192</v>
      </c>
      <c r="B29" s="11"/>
      <c r="C29" s="11"/>
      <c r="D29" s="11"/>
      <c r="E29" s="11"/>
      <c r="F29" s="11"/>
      <c r="G29" s="11"/>
      <c r="H29" s="2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row>
    <row r="30" spans="1:42">
      <c r="A30" s="11"/>
      <c r="B30" s="22" t="s">
        <v>193</v>
      </c>
      <c r="C30" s="11"/>
      <c r="D30" s="11"/>
      <c r="E30" s="22" t="s">
        <v>193</v>
      </c>
      <c r="F30" s="11"/>
      <c r="G30" s="11"/>
      <c r="H30" s="21"/>
      <c r="I30" s="21"/>
      <c r="J30" s="23"/>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row>
    <row r="31" spans="1:42">
      <c r="A31" s="11"/>
      <c r="B31" s="22" t="s">
        <v>194</v>
      </c>
      <c r="C31" s="11"/>
      <c r="D31" s="11"/>
      <c r="E31" s="22" t="s">
        <v>194</v>
      </c>
      <c r="F31" s="11"/>
      <c r="G31" s="11"/>
      <c r="H31" s="21"/>
      <c r="I31" s="21"/>
      <c r="J31" s="23"/>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row>
    <row r="32" spans="1:42">
      <c r="A32" s="11" t="s">
        <v>195</v>
      </c>
      <c r="B32" s="24">
        <v>0.26700000000000002</v>
      </c>
      <c r="C32" s="11"/>
      <c r="D32" s="25" t="s">
        <v>196</v>
      </c>
      <c r="E32" s="24">
        <v>7.4999999999999997E-2</v>
      </c>
      <c r="F32" s="11"/>
      <c r="G32" s="11"/>
      <c r="H32" s="21"/>
      <c r="I32" s="21"/>
      <c r="J32" s="23"/>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row>
    <row r="33" spans="1:42">
      <c r="A33" s="11" t="s">
        <v>197</v>
      </c>
      <c r="B33" s="24">
        <v>0.217</v>
      </c>
      <c r="C33" s="11"/>
      <c r="D33" s="25" t="s">
        <v>198</v>
      </c>
      <c r="E33" s="24">
        <v>0.08</v>
      </c>
      <c r="F33" s="11"/>
      <c r="G33" s="11"/>
      <c r="H33" s="21"/>
      <c r="I33" s="21"/>
      <c r="J33" s="23"/>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row>
    <row r="34" spans="1:42">
      <c r="A34" s="25" t="s">
        <v>199</v>
      </c>
      <c r="B34" s="24">
        <v>3.4000000000000002E-2</v>
      </c>
      <c r="C34" s="11"/>
      <c r="D34" s="25" t="s">
        <v>200</v>
      </c>
      <c r="E34" s="24">
        <v>3.6999999999999998E-2</v>
      </c>
      <c r="F34" s="11"/>
      <c r="G34" s="11"/>
      <c r="H34" s="21"/>
      <c r="I34" s="21"/>
      <c r="J34" s="23"/>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row>
    <row r="35" spans="1:42">
      <c r="A35" s="25" t="s">
        <v>2</v>
      </c>
      <c r="B35" s="26">
        <v>0.27900000000000003</v>
      </c>
      <c r="C35" s="11"/>
      <c r="D35" s="11"/>
      <c r="E35" s="11"/>
      <c r="F35" s="11"/>
      <c r="G35" s="11"/>
      <c r="H35" s="21"/>
      <c r="I35" s="21"/>
      <c r="J35" s="23"/>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row>
    <row r="36" spans="1:42">
      <c r="A36" s="11"/>
      <c r="B36" s="11"/>
      <c r="C36" s="11"/>
      <c r="D36" s="11"/>
      <c r="E36" s="11"/>
      <c r="F36" s="11"/>
      <c r="G36" s="11"/>
      <c r="H36" s="21"/>
      <c r="I36" s="21"/>
      <c r="J36" s="23"/>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row>
    <row r="37" spans="1:42">
      <c r="A37" s="11"/>
      <c r="B37" s="11"/>
      <c r="C37" s="11"/>
      <c r="D37" s="11"/>
      <c r="E37" s="11"/>
      <c r="F37" s="11"/>
      <c r="G37" s="11"/>
      <c r="H37" s="21"/>
      <c r="I37" s="21"/>
      <c r="J37" s="23"/>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row>
    <row r="38" spans="1:42">
      <c r="A38" s="18" t="s">
        <v>201</v>
      </c>
      <c r="B38" s="11"/>
      <c r="C38" s="11"/>
      <c r="D38" s="11"/>
      <c r="E38" s="11"/>
      <c r="F38" s="11"/>
      <c r="G38" s="11"/>
      <c r="H38" s="21"/>
      <c r="I38" s="21"/>
      <c r="J38" s="23"/>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row>
    <row r="39" spans="1:42">
      <c r="A39" s="11"/>
      <c r="B39" s="27" t="s">
        <v>202</v>
      </c>
      <c r="C39" s="27"/>
      <c r="D39" s="11"/>
      <c r="E39" s="11"/>
      <c r="F39" s="11"/>
      <c r="G39" s="11"/>
      <c r="H39" s="21"/>
      <c r="I39" s="21"/>
      <c r="J39" s="23"/>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row>
    <row r="40" spans="1:42">
      <c r="A40" s="11"/>
      <c r="B40" s="22" t="s">
        <v>203</v>
      </c>
      <c r="C40" s="22" t="s">
        <v>204</v>
      </c>
      <c r="D40" s="11"/>
      <c r="E40" s="11"/>
      <c r="F40" s="11"/>
      <c r="G40" s="11"/>
      <c r="H40" s="21"/>
      <c r="I40" s="21"/>
      <c r="J40" s="23"/>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row>
    <row r="41" spans="1:42">
      <c r="A41" s="11" t="s">
        <v>195</v>
      </c>
      <c r="B41" s="24">
        <v>0.2</v>
      </c>
      <c r="C41" s="24">
        <v>0.8</v>
      </c>
      <c r="D41" s="11"/>
      <c r="E41" s="11"/>
      <c r="F41" s="11"/>
      <c r="G41" s="11"/>
      <c r="H41" s="21"/>
      <c r="I41" s="21"/>
      <c r="J41" s="23"/>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row>
    <row r="42" spans="1:42">
      <c r="A42" s="11" t="s">
        <v>200</v>
      </c>
      <c r="B42" s="24">
        <v>0.01</v>
      </c>
      <c r="C42" s="24">
        <v>0.05</v>
      </c>
      <c r="D42" s="11"/>
      <c r="E42" s="11"/>
      <c r="F42" s="11"/>
      <c r="G42" s="11"/>
      <c r="H42" s="21"/>
      <c r="I42" s="21"/>
      <c r="J42" s="23"/>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row>
    <row r="43" spans="1:42">
      <c r="A43" s="11" t="s">
        <v>205</v>
      </c>
      <c r="B43" s="24">
        <v>0.05</v>
      </c>
      <c r="C43" s="24">
        <v>0.15</v>
      </c>
      <c r="D43" s="11"/>
      <c r="E43" s="11"/>
      <c r="F43" s="11"/>
      <c r="G43" s="11"/>
      <c r="H43" s="21"/>
      <c r="I43" s="21"/>
      <c r="J43" s="23"/>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row>
    <row r="44" spans="1:42">
      <c r="A44" s="25" t="s">
        <v>206</v>
      </c>
      <c r="B44" s="26">
        <v>0.04</v>
      </c>
      <c r="C44" s="26">
        <v>0.15</v>
      </c>
      <c r="D44" s="11"/>
      <c r="E44" s="11"/>
      <c r="F44" s="11"/>
      <c r="G44" s="11"/>
      <c r="H44" s="11"/>
      <c r="I44" s="23"/>
      <c r="J44" s="23"/>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row>
    <row r="45" spans="1:42">
      <c r="A45" s="25" t="s">
        <v>207</v>
      </c>
      <c r="B45" s="26">
        <v>0.04</v>
      </c>
      <c r="C45" s="26">
        <v>0.1</v>
      </c>
      <c r="D45" s="11"/>
      <c r="E45" s="11"/>
      <c r="F45" s="11"/>
      <c r="G45" s="11"/>
      <c r="H45" s="11"/>
      <c r="I45" s="23"/>
      <c r="J45" s="23"/>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row>
    <row r="46" spans="1:42">
      <c r="A46" s="25" t="s">
        <v>199</v>
      </c>
      <c r="B46" s="26">
        <v>0.01</v>
      </c>
      <c r="C46" s="26">
        <v>0.05</v>
      </c>
      <c r="D46" s="11"/>
      <c r="E46" s="11"/>
      <c r="F46" s="11"/>
      <c r="G46" s="11"/>
      <c r="H46" s="11"/>
      <c r="I46" s="23"/>
      <c r="J46" s="23"/>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row>
    <row r="47" spans="1:42">
      <c r="A47" s="25" t="s">
        <v>2</v>
      </c>
      <c r="B47" s="24">
        <v>0.05</v>
      </c>
      <c r="C47" s="24">
        <v>0.3</v>
      </c>
      <c r="D47" s="11"/>
      <c r="E47" s="11"/>
      <c r="F47" s="11"/>
      <c r="G47" s="11"/>
      <c r="H47" s="11"/>
      <c r="I47" s="23"/>
      <c r="J47" s="23"/>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row>
    <row r="48" spans="1:42">
      <c r="A48" s="25" t="s">
        <v>197</v>
      </c>
      <c r="B48" s="24">
        <v>0</v>
      </c>
      <c r="C48" s="24">
        <v>0</v>
      </c>
      <c r="D48" s="11"/>
      <c r="E48" s="11"/>
      <c r="F48" s="11"/>
      <c r="G48" s="11"/>
      <c r="H48" s="11"/>
      <c r="I48" s="23"/>
      <c r="J48" s="23"/>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row>
    <row r="49" spans="1:42">
      <c r="A49" s="25"/>
      <c r="B49" s="11"/>
      <c r="C49" s="11"/>
      <c r="D49" s="11"/>
      <c r="E49" s="11"/>
      <c r="F49" s="11"/>
      <c r="G49" s="11"/>
      <c r="H49" s="11"/>
      <c r="I49" s="23"/>
      <c r="J49" s="23"/>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row>
    <row r="50" spans="1:42">
      <c r="A50" s="25"/>
      <c r="B50" s="11"/>
      <c r="C50" s="11"/>
      <c r="D50" s="11"/>
      <c r="E50" s="11"/>
      <c r="F50" s="11"/>
      <c r="G50" s="11"/>
      <c r="H50" s="11"/>
      <c r="I50" s="23"/>
      <c r="J50" s="23"/>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row>
    <row r="51" spans="1:42">
      <c r="A51" s="18" t="s">
        <v>208</v>
      </c>
      <c r="B51" s="11"/>
      <c r="C51" s="11"/>
      <c r="D51" s="11"/>
      <c r="E51" s="11"/>
      <c r="F51" s="11"/>
      <c r="G51" s="11"/>
      <c r="H51" s="11"/>
      <c r="I51" s="23"/>
      <c r="J51" s="23"/>
      <c r="K51" s="23"/>
      <c r="L51" s="23"/>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row>
    <row r="52" spans="1:42">
      <c r="A52" s="11"/>
      <c r="B52" s="11"/>
      <c r="C52" s="11"/>
      <c r="D52" s="11"/>
      <c r="E52" s="11"/>
      <c r="F52" s="11"/>
      <c r="G52" s="22" t="s">
        <v>209</v>
      </c>
      <c r="H52" s="11"/>
      <c r="I52" s="23"/>
      <c r="J52" s="23"/>
      <c r="K52" s="23"/>
      <c r="L52" s="23"/>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row>
    <row r="53" spans="1:42">
      <c r="A53" s="11"/>
      <c r="B53" s="22" t="s">
        <v>210</v>
      </c>
      <c r="C53" s="22" t="s">
        <v>211</v>
      </c>
      <c r="D53" s="22" t="s">
        <v>212</v>
      </c>
      <c r="E53" s="28" t="s">
        <v>213</v>
      </c>
      <c r="F53" s="11"/>
      <c r="G53" s="22" t="s">
        <v>214</v>
      </c>
      <c r="H53" s="22" t="s">
        <v>215</v>
      </c>
      <c r="I53" s="22" t="s">
        <v>216</v>
      </c>
      <c r="J53" s="23"/>
      <c r="K53" s="23"/>
      <c r="L53" s="23"/>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row>
    <row r="54" spans="1:42">
      <c r="A54" s="11"/>
      <c r="B54" s="11"/>
      <c r="C54" s="11"/>
      <c r="D54" s="11"/>
      <c r="E54" s="11"/>
      <c r="F54" s="11"/>
      <c r="G54" s="11"/>
      <c r="H54" s="11"/>
      <c r="I54" s="23"/>
      <c r="J54" s="23"/>
      <c r="K54" s="23"/>
      <c r="L54" s="23"/>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row>
    <row r="55" spans="1:42">
      <c r="A55" s="11" t="s">
        <v>217</v>
      </c>
      <c r="B55" s="29">
        <v>2</v>
      </c>
      <c r="C55" s="29">
        <v>3.5</v>
      </c>
      <c r="D55" s="29">
        <v>2</v>
      </c>
      <c r="E55" s="30">
        <v>10</v>
      </c>
      <c r="F55" s="11"/>
      <c r="G55" s="31">
        <v>0.5</v>
      </c>
      <c r="H55" s="29">
        <f>B55+(C55-B55)*G55</f>
        <v>2.75</v>
      </c>
      <c r="I55" s="29">
        <f>D55+(E55-D55)*G55</f>
        <v>6</v>
      </c>
      <c r="J55" s="23"/>
      <c r="K55" s="23"/>
      <c r="L55" s="23"/>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row>
    <row r="56" spans="1:42">
      <c r="A56" s="11" t="s">
        <v>218</v>
      </c>
      <c r="B56" s="29">
        <v>0.2</v>
      </c>
      <c r="C56" s="29">
        <v>1</v>
      </c>
      <c r="D56" s="29">
        <v>0</v>
      </c>
      <c r="E56" s="30">
        <v>0.2</v>
      </c>
      <c r="F56" s="11"/>
      <c r="G56" s="31">
        <v>0.5</v>
      </c>
      <c r="H56" s="29">
        <f>B56+(C56-B56)*G56</f>
        <v>0.60000000000000009</v>
      </c>
      <c r="I56" s="29">
        <f>D56+(E56-D56)*G56</f>
        <v>0.1</v>
      </c>
      <c r="J56" s="23"/>
      <c r="K56" s="23"/>
      <c r="L56" s="23"/>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row>
    <row r="57" spans="1:42">
      <c r="A57" s="11" t="s">
        <v>219</v>
      </c>
      <c r="B57" s="29">
        <v>5</v>
      </c>
      <c r="C57" s="29">
        <v>50</v>
      </c>
      <c r="D57" s="29">
        <v>2</v>
      </c>
      <c r="E57" s="30">
        <v>20</v>
      </c>
      <c r="F57" s="11"/>
      <c r="G57" s="31">
        <v>0.5</v>
      </c>
      <c r="H57" s="29">
        <f>B57+(C57-B57)*G57</f>
        <v>27.5</v>
      </c>
      <c r="I57" s="29">
        <f>D57+(E57-D57)*G57</f>
        <v>11</v>
      </c>
      <c r="J57" s="23"/>
      <c r="K57" s="23"/>
      <c r="L57" s="23"/>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row>
    <row r="58" spans="1:42">
      <c r="A58" s="25" t="s">
        <v>220</v>
      </c>
      <c r="B58" s="30">
        <v>0.2</v>
      </c>
      <c r="C58" s="30">
        <v>1.5</v>
      </c>
      <c r="D58" s="30">
        <v>0.2</v>
      </c>
      <c r="E58" s="30">
        <v>1</v>
      </c>
      <c r="F58" s="11"/>
      <c r="G58" s="31">
        <v>0.5</v>
      </c>
      <c r="H58" s="29">
        <f>B58+(C58-B58)*G58</f>
        <v>0.85000000000000009</v>
      </c>
      <c r="I58" s="29">
        <f>D58+(E58-D58)*G58</f>
        <v>0.60000000000000009</v>
      </c>
      <c r="J58" s="23"/>
      <c r="K58" s="23"/>
      <c r="L58" s="23"/>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row>
    <row r="59" spans="1:42">
      <c r="A59" s="25" t="s">
        <v>221</v>
      </c>
      <c r="B59" s="30">
        <v>0.8</v>
      </c>
      <c r="C59" s="30">
        <v>3.5</v>
      </c>
      <c r="D59" s="30">
        <v>5</v>
      </c>
      <c r="E59" s="30">
        <v>20</v>
      </c>
      <c r="F59" s="11"/>
      <c r="G59" s="31">
        <v>0.5</v>
      </c>
      <c r="H59" s="29">
        <f>B59+(C59-B59)*G59</f>
        <v>2.1500000000000004</v>
      </c>
      <c r="I59" s="29">
        <f>D59+(E59-D59)*G59</f>
        <v>12.5</v>
      </c>
      <c r="J59" s="23"/>
      <c r="K59" s="23"/>
      <c r="L59" s="23"/>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row>
    <row r="60" spans="1:42">
      <c r="A60" s="11"/>
      <c r="B60" s="11"/>
      <c r="C60" s="11"/>
      <c r="D60" s="11"/>
      <c r="E60" s="11"/>
      <c r="F60" s="11"/>
      <c r="G60" s="11"/>
      <c r="H60" s="11"/>
      <c r="I60" s="23"/>
      <c r="J60" s="23"/>
      <c r="K60" s="23"/>
      <c r="L60" s="23"/>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row>
    <row r="61" spans="1:42">
      <c r="A61" s="11"/>
      <c r="B61" s="11"/>
      <c r="C61" s="11"/>
      <c r="D61" s="11"/>
      <c r="E61" s="11"/>
      <c r="F61" s="11"/>
      <c r="G61" s="11"/>
      <c r="H61" s="11"/>
      <c r="I61" s="23"/>
      <c r="J61" s="23"/>
      <c r="K61" s="23"/>
      <c r="L61" s="23"/>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row>
    <row r="62" spans="1:42">
      <c r="A62" s="18" t="s">
        <v>222</v>
      </c>
      <c r="B62" s="32"/>
      <c r="C62" s="32"/>
      <c r="D62" s="32"/>
      <c r="E62" s="32"/>
      <c r="F62" s="32"/>
      <c r="G62" s="32"/>
      <c r="H62" s="32"/>
      <c r="I62" s="32"/>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row>
    <row r="63" spans="1:42">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row>
    <row r="64" spans="1:42">
      <c r="A64" s="11"/>
      <c r="B64" s="22" t="s">
        <v>223</v>
      </c>
      <c r="C64" s="22" t="s">
        <v>224</v>
      </c>
      <c r="D64" s="22" t="s">
        <v>75</v>
      </c>
      <c r="E64" s="22"/>
      <c r="F64" s="22"/>
      <c r="G64" s="22" t="s">
        <v>223</v>
      </c>
      <c r="H64" s="22"/>
      <c r="I64" s="22" t="s">
        <v>75</v>
      </c>
      <c r="J64" s="11"/>
      <c r="K64" s="11"/>
      <c r="L64" s="11"/>
      <c r="M64" s="11"/>
      <c r="N64" s="11"/>
      <c r="O64" s="11"/>
      <c r="P64" s="22" t="s">
        <v>223</v>
      </c>
      <c r="Q64" s="22" t="s">
        <v>224</v>
      </c>
      <c r="R64" s="11"/>
      <c r="S64" s="11"/>
      <c r="T64" s="22" t="s">
        <v>225</v>
      </c>
      <c r="U64" s="22"/>
      <c r="V64" s="22"/>
      <c r="W64" s="22"/>
      <c r="X64" s="22" t="s">
        <v>226</v>
      </c>
      <c r="Y64" s="22"/>
      <c r="Z64" s="22"/>
      <c r="AA64" s="22" t="s">
        <v>227</v>
      </c>
      <c r="AB64" s="11"/>
      <c r="AC64" s="22" t="s">
        <v>223</v>
      </c>
      <c r="AD64" s="22"/>
      <c r="AE64" s="22"/>
      <c r="AF64" s="11"/>
      <c r="AG64" s="22" t="s">
        <v>225</v>
      </c>
      <c r="AH64" s="22"/>
      <c r="AI64" s="22"/>
      <c r="AJ64" s="22"/>
      <c r="AK64" s="22" t="s">
        <v>226</v>
      </c>
      <c r="AL64" s="22"/>
      <c r="AM64" s="22"/>
      <c r="AN64" s="22" t="s">
        <v>227</v>
      </c>
      <c r="AO64" s="11"/>
      <c r="AP64" s="11"/>
    </row>
    <row r="65" spans="1:42">
      <c r="A65" s="11"/>
      <c r="B65" s="22" t="s">
        <v>2</v>
      </c>
      <c r="C65" s="22" t="s">
        <v>2</v>
      </c>
      <c r="D65" s="22" t="s">
        <v>81</v>
      </c>
      <c r="E65" s="22"/>
      <c r="F65" s="22"/>
      <c r="G65" s="22" t="s">
        <v>2</v>
      </c>
      <c r="H65" s="22" t="s">
        <v>0</v>
      </c>
      <c r="I65" s="22" t="s">
        <v>81</v>
      </c>
      <c r="J65" s="11"/>
      <c r="K65" s="11"/>
      <c r="L65" s="11"/>
      <c r="M65" s="11"/>
      <c r="N65" s="11"/>
      <c r="O65" s="11"/>
      <c r="P65" s="22" t="s">
        <v>2</v>
      </c>
      <c r="Q65" s="22" t="s">
        <v>2</v>
      </c>
      <c r="R65" s="11"/>
      <c r="S65" s="11"/>
      <c r="T65" s="11"/>
      <c r="U65" s="11"/>
      <c r="V65" s="11"/>
      <c r="W65" s="11"/>
      <c r="X65" s="11"/>
      <c r="Y65" s="11"/>
      <c r="Z65" s="11"/>
      <c r="AA65" s="11"/>
      <c r="AB65" s="11"/>
      <c r="AC65" s="22" t="s">
        <v>2</v>
      </c>
      <c r="AD65" s="22" t="s">
        <v>0</v>
      </c>
      <c r="AE65" s="22"/>
      <c r="AF65" s="11"/>
      <c r="AG65" s="11"/>
      <c r="AH65" s="11"/>
      <c r="AI65" s="11"/>
      <c r="AJ65" s="11"/>
      <c r="AK65" s="11"/>
      <c r="AL65" s="11"/>
      <c r="AM65" s="11"/>
      <c r="AN65" s="11"/>
      <c r="AO65" s="11"/>
      <c r="AP65" s="11"/>
    </row>
    <row r="66" spans="1:42">
      <c r="A66" s="11" t="s">
        <v>228</v>
      </c>
      <c r="B66" s="11">
        <v>0.2</v>
      </c>
      <c r="C66" s="11">
        <v>10</v>
      </c>
      <c r="D66" s="33">
        <f>INDEX(MMULT(W66:Y68,AA66:AA68),1,1)</f>
        <v>1.1829442382747484</v>
      </c>
      <c r="E66" s="11"/>
      <c r="F66" s="11"/>
      <c r="G66" s="11">
        <v>7</v>
      </c>
      <c r="H66" s="11">
        <v>1.1000000000000001</v>
      </c>
      <c r="I66" s="33">
        <f>INDEX(MMULT(AJ66:AL68,AN66:AN68),1,1)</f>
        <v>0.93286813193897444</v>
      </c>
      <c r="J66" s="11"/>
      <c r="K66" s="11"/>
      <c r="L66" s="11"/>
      <c r="M66" s="11"/>
      <c r="N66" s="11"/>
      <c r="O66" s="11"/>
      <c r="P66" s="11">
        <f t="shared" ref="P66:Q69" si="0">LOG(B66)</f>
        <v>-0.69897000433601875</v>
      </c>
      <c r="Q66" s="11">
        <f t="shared" si="0"/>
        <v>1</v>
      </c>
      <c r="R66" s="11"/>
      <c r="S66" s="11">
        <f>4</f>
        <v>4</v>
      </c>
      <c r="T66" s="11">
        <f>S67</f>
        <v>2.204119982655925</v>
      </c>
      <c r="U66" s="11">
        <f>T67</f>
        <v>4.2812487254895908</v>
      </c>
      <c r="V66" s="11"/>
      <c r="W66" s="11">
        <f>INDEX(MINVERSE(S66:U68),1,1)</f>
        <v>0.51014699027108712</v>
      </c>
      <c r="X66" s="11">
        <f>INDEX(MINVERSE(S66:U68),2)</f>
        <v>0.11058393226860654</v>
      </c>
      <c r="Y66" s="11">
        <f>INDEX(MINVERSE(S66:U68),3)</f>
        <v>-0.29998916164614614</v>
      </c>
      <c r="Z66" s="11"/>
      <c r="AA66" s="11">
        <f>Q66+Q67+Q68+Q69</f>
        <v>6.0492180226701819</v>
      </c>
      <c r="AB66" s="11"/>
      <c r="AC66" s="11">
        <f t="shared" ref="AC66:AD69" si="1">LOG(G66)</f>
        <v>0.84509804001425681</v>
      </c>
      <c r="AD66" s="11">
        <f t="shared" si="1"/>
        <v>4.1392685158225077E-2</v>
      </c>
      <c r="AE66" s="11"/>
      <c r="AF66" s="11">
        <f>4</f>
        <v>4</v>
      </c>
      <c r="AG66" s="11">
        <f>AF67</f>
        <v>5.8662873390841952</v>
      </c>
      <c r="AH66" s="11">
        <f>AG67</f>
        <v>9.1869637512785118</v>
      </c>
      <c r="AI66" s="11"/>
      <c r="AJ66" s="11">
        <f>INDEX(MINVERSE(AF66:AH68),1,1)</f>
        <v>72.295517299365471</v>
      </c>
      <c r="AK66" s="11">
        <f>INDEX(MINVERSE(AF66:AH68),2)</f>
        <v>-117.33151108467169</v>
      </c>
      <c r="AL66" s="11">
        <f>INDEX(MINVERSE(AF66:AH68),3)</f>
        <v>43.552831989620259</v>
      </c>
      <c r="AM66" s="11"/>
      <c r="AN66" s="11">
        <f>AD66+AD67+AD68+AD69</f>
        <v>0.95763601562356471</v>
      </c>
      <c r="AO66" s="11"/>
      <c r="AP66" s="11"/>
    </row>
    <row r="67" spans="1:42">
      <c r="A67" s="11"/>
      <c r="B67" s="11">
        <v>2</v>
      </c>
      <c r="C67" s="11">
        <v>20</v>
      </c>
      <c r="D67" s="33">
        <f>INDEX(MMULT(W66:Y68,AA66:AA68),2,1)</f>
        <v>0.35039787768968989</v>
      </c>
      <c r="E67" s="11"/>
      <c r="F67" s="11"/>
      <c r="G67" s="11">
        <v>30</v>
      </c>
      <c r="H67" s="11">
        <v>1.4</v>
      </c>
      <c r="I67" s="33">
        <f>INDEX(MMULT(AJ66:AL68,AN66:AN68),2,1)</f>
        <v>-1.7328494292437142</v>
      </c>
      <c r="J67" s="11"/>
      <c r="K67" s="11"/>
      <c r="L67" s="11"/>
      <c r="M67" s="11"/>
      <c r="N67" s="11"/>
      <c r="O67" s="11"/>
      <c r="P67" s="11">
        <f t="shared" si="0"/>
        <v>0.3010299956639812</v>
      </c>
      <c r="Q67" s="11">
        <f t="shared" si="0"/>
        <v>1.3010299956639813</v>
      </c>
      <c r="R67" s="11"/>
      <c r="S67" s="11">
        <f>P66+P67+P68+P69</f>
        <v>2.204119982655925</v>
      </c>
      <c r="T67" s="11">
        <f>S68</f>
        <v>4.2812487254895908</v>
      </c>
      <c r="U67" s="11">
        <f>P66^3+P67^3+P68^3+P69^3</f>
        <v>5.3264007461631149</v>
      </c>
      <c r="V67" s="11"/>
      <c r="W67" s="11">
        <f>INDEX(MINVERSE(S66:U68),2,1)</f>
        <v>0.11058393226860654</v>
      </c>
      <c r="X67" s="11">
        <f>INDEX(MINVERSE(S66:U68),2,2)</f>
        <v>0.84895110258993822</v>
      </c>
      <c r="Y67" s="11">
        <f>INDEX(MINVERSE(S66:U68),2,3)</f>
        <v>-0.54038575353412144</v>
      </c>
      <c r="Z67" s="11"/>
      <c r="AA67" s="11">
        <f>P66*Q66+P67*Q67+P68*Q68+P69*Q69</f>
        <v>4.7856905444280091</v>
      </c>
      <c r="AB67" s="11"/>
      <c r="AC67" s="11">
        <f t="shared" si="1"/>
        <v>1.4771212547196624</v>
      </c>
      <c r="AD67" s="11">
        <f t="shared" si="1"/>
        <v>0.14612803567823801</v>
      </c>
      <c r="AE67" s="11"/>
      <c r="AF67" s="11">
        <f>AC66+AC67+AC68+AC69</f>
        <v>5.8662873390841952</v>
      </c>
      <c r="AG67" s="11">
        <f>AF68</f>
        <v>9.1869637512785118</v>
      </c>
      <c r="AH67" s="11">
        <f>AC66^3+AC67^3+AC68^3+AC69^3</f>
        <v>15.011975835868084</v>
      </c>
      <c r="AI67" s="11"/>
      <c r="AJ67" s="11">
        <f>INDEX(MINVERSE(AF66:AH68),2,1)</f>
        <v>-117.33151108467169</v>
      </c>
      <c r="AK67" s="11">
        <f>INDEX(MINVERSE(AF66:AH68),2,2)</f>
        <v>194.56416200674056</v>
      </c>
      <c r="AL67" s="11">
        <f>INDEX(MINVERSE(AF66:AH68),2,3)</f>
        <v>-73.151832757308554</v>
      </c>
      <c r="AM67" s="11"/>
      <c r="AN67" s="11">
        <f>AC66*AD66+AC67*AD67+AC68*AD68+AC69*AD69</f>
        <v>1.6310342093601122</v>
      </c>
      <c r="AO67" s="11"/>
      <c r="AP67" s="11"/>
    </row>
    <row r="68" spans="1:42">
      <c r="A68" s="11"/>
      <c r="B68" s="11">
        <v>8</v>
      </c>
      <c r="C68" s="11">
        <v>40</v>
      </c>
      <c r="D68" s="33">
        <f>INDEX(MMULT(W66:Y68,AA66:AA68),3,1)</f>
        <v>0.12732782896484807</v>
      </c>
      <c r="E68" s="11"/>
      <c r="F68" s="11"/>
      <c r="G68" s="11">
        <v>50</v>
      </c>
      <c r="H68" s="11">
        <v>1.9</v>
      </c>
      <c r="I68" s="33">
        <f>INDEX(MMULT(AJ66:AL68,AN66:AN68),3,1)</f>
        <v>0.80457007944009717</v>
      </c>
      <c r="J68" s="11"/>
      <c r="K68" s="11"/>
      <c r="L68" s="11"/>
      <c r="M68" s="11"/>
      <c r="N68" s="11"/>
      <c r="O68" s="11"/>
      <c r="P68" s="11">
        <f t="shared" si="0"/>
        <v>0.90308998699194354</v>
      </c>
      <c r="Q68" s="11">
        <f t="shared" si="0"/>
        <v>1.6020599913279623</v>
      </c>
      <c r="R68" s="11"/>
      <c r="S68" s="11">
        <f>P66^2+P67^2+P68^2+P69^2</f>
        <v>4.2812487254895908</v>
      </c>
      <c r="T68" s="11">
        <f>U67</f>
        <v>5.3264007461631149</v>
      </c>
      <c r="U68" s="11">
        <f>P66^4+P67^4+P68^4+P69^4</f>
        <v>9.2439356010154867</v>
      </c>
      <c r="V68" s="11"/>
      <c r="W68" s="11">
        <f>INDEX(MINVERSE(S66:U68),3,1)</f>
        <v>-0.29998916164614614</v>
      </c>
      <c r="X68" s="11">
        <f>INDEX(MINVERSE(S66:U68),3,2)</f>
        <v>-0.54038575353412133</v>
      </c>
      <c r="Y68" s="11">
        <f>INDEX(MINVERSE(S66:U68),3,3)</f>
        <v>0.55848931879525177</v>
      </c>
      <c r="Z68" s="11"/>
      <c r="AA68" s="11">
        <f>Q66*P66^2+Q67*P67^2+Q68*P68^2+Q69*P69^2</f>
        <v>8.1078482807875343</v>
      </c>
      <c r="AB68" s="11"/>
      <c r="AC68" s="11">
        <f t="shared" si="1"/>
        <v>1.6989700043360187</v>
      </c>
      <c r="AD68" s="11">
        <f t="shared" si="1"/>
        <v>0.27875360095282892</v>
      </c>
      <c r="AE68" s="11"/>
      <c r="AF68" s="11">
        <f>AC66^2+AC67^2+AC68^2+AC69^2</f>
        <v>9.1869637512785118</v>
      </c>
      <c r="AG68" s="11">
        <f>AH67</f>
        <v>15.011975835868084</v>
      </c>
      <c r="AH68" s="11">
        <f>AC66^4+AC67^4+AC68^4+AC69^4</f>
        <v>25.192426353383205</v>
      </c>
      <c r="AI68" s="11"/>
      <c r="AJ68" s="11">
        <f>INDEX(MINVERSE(AF66:AH68),3,1)</f>
        <v>43.552831989620259</v>
      </c>
      <c r="AK68" s="11">
        <f>INDEX(MINVERSE(AF66:AH68),3,2)</f>
        <v>-73.151832757308654</v>
      </c>
      <c r="AL68" s="11">
        <f>INDEX(MINVERSE(AF66:AH68),3,3)</f>
        <v>27.747833699795244</v>
      </c>
      <c r="AM68" s="11"/>
      <c r="AN68" s="11">
        <f>AD66*AC66^2+AD67*AC67^2+AD68*AC68^2+AD69*AC69^2</f>
        <v>2.8258044262718891</v>
      </c>
      <c r="AO68" s="11"/>
      <c r="AP68" s="11"/>
    </row>
    <row r="69" spans="1:42">
      <c r="A69" s="11"/>
      <c r="B69" s="11">
        <v>50</v>
      </c>
      <c r="C69" s="11">
        <v>140</v>
      </c>
      <c r="D69" s="33"/>
      <c r="E69" s="11"/>
      <c r="F69" s="11"/>
      <c r="G69" s="11">
        <v>70</v>
      </c>
      <c r="H69" s="11">
        <v>3.1</v>
      </c>
      <c r="I69" s="33"/>
      <c r="J69" s="11"/>
      <c r="K69" s="11"/>
      <c r="L69" s="11"/>
      <c r="M69" s="11"/>
      <c r="N69" s="11"/>
      <c r="O69" s="11"/>
      <c r="P69" s="11">
        <f t="shared" si="0"/>
        <v>1.6989700043360187</v>
      </c>
      <c r="Q69" s="11">
        <f t="shared" si="0"/>
        <v>2.1461280356782382</v>
      </c>
      <c r="R69" s="11"/>
      <c r="S69" s="11"/>
      <c r="T69" s="11"/>
      <c r="U69" s="11"/>
      <c r="V69" s="11"/>
      <c r="W69" s="11"/>
      <c r="X69" s="11"/>
      <c r="Y69" s="11"/>
      <c r="Z69" s="11"/>
      <c r="AA69" s="11"/>
      <c r="AB69" s="11"/>
      <c r="AC69" s="11">
        <f t="shared" si="1"/>
        <v>1.8450980400142569</v>
      </c>
      <c r="AD69" s="11">
        <f t="shared" si="1"/>
        <v>0.49136169383427269</v>
      </c>
      <c r="AE69" s="11"/>
      <c r="AF69" s="11"/>
      <c r="AG69" s="11"/>
      <c r="AH69" s="11"/>
      <c r="AI69" s="11"/>
      <c r="AJ69" s="11"/>
      <c r="AK69" s="11"/>
      <c r="AL69" s="11"/>
      <c r="AM69" s="11"/>
      <c r="AN69" s="11"/>
      <c r="AO69" s="11"/>
      <c r="AP69" s="11"/>
    </row>
    <row r="70" spans="1:42">
      <c r="A70" s="11"/>
      <c r="B70" s="11"/>
      <c r="C70" s="11"/>
      <c r="D70" s="33"/>
      <c r="E70" s="11"/>
      <c r="F70" s="11"/>
      <c r="G70" s="11"/>
      <c r="H70" s="11"/>
      <c r="I70" s="33"/>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row>
    <row r="71" spans="1:42">
      <c r="A71" s="11" t="s">
        <v>229</v>
      </c>
      <c r="B71" s="11">
        <v>1</v>
      </c>
      <c r="C71" s="11">
        <v>10</v>
      </c>
      <c r="D71" s="33">
        <f>INDEX(MMULT(W71:Y73,AA71:AA73),1,1)</f>
        <v>1.0018770507054953</v>
      </c>
      <c r="E71" s="11"/>
      <c r="F71" s="11"/>
      <c r="G71" s="11">
        <v>1</v>
      </c>
      <c r="H71" s="11">
        <v>2</v>
      </c>
      <c r="I71" s="33">
        <f>INDEX(MMULT(AJ71:AL73,AN71:AN73),1,1)</f>
        <v>0.30492967970573259</v>
      </c>
      <c r="J71" s="11"/>
      <c r="K71" s="34"/>
      <c r="L71" s="11"/>
      <c r="M71" s="11"/>
      <c r="N71" s="11"/>
      <c r="O71" s="11"/>
      <c r="P71" s="11">
        <f t="shared" ref="P71:Q74" si="2">LOG(B71)</f>
        <v>0</v>
      </c>
      <c r="Q71" s="11">
        <f t="shared" si="2"/>
        <v>1</v>
      </c>
      <c r="R71" s="11"/>
      <c r="S71" s="11">
        <f>4</f>
        <v>4</v>
      </c>
      <c r="T71" s="11">
        <f>S72</f>
        <v>4.0334237554869503</v>
      </c>
      <c r="U71" s="11">
        <f>T72</f>
        <v>6.1172622037907569</v>
      </c>
      <c r="V71" s="11"/>
      <c r="W71" s="11">
        <f>INDEX(MINVERSE(S71:U73),1,1)</f>
        <v>0.97478186774907949</v>
      </c>
      <c r="X71" s="11">
        <f>INDEX(MINVERSE(S71:U73),2)</f>
        <v>-1.5401004160574805</v>
      </c>
      <c r="Y71" s="11">
        <f>INDEX(MINVERSE(S71:U73),3)</f>
        <v>0.54154130109257181</v>
      </c>
      <c r="Z71" s="11"/>
      <c r="AA71" s="11">
        <f>Q71+Q72+Q73+Q74</f>
        <v>6.0492180226701819</v>
      </c>
      <c r="AB71" s="11"/>
      <c r="AC71" s="11">
        <f t="shared" ref="AC71:AD74" si="3">LOG(G71)</f>
        <v>0</v>
      </c>
      <c r="AD71" s="11">
        <f t="shared" si="3"/>
        <v>0.3010299956639812</v>
      </c>
      <c r="AE71" s="11"/>
      <c r="AF71" s="11">
        <f>4</f>
        <v>4</v>
      </c>
      <c r="AG71" s="11">
        <f>AF72</f>
        <v>3.924279286061882</v>
      </c>
      <c r="AH71" s="11">
        <f>AG72</f>
        <v>5.7025851953554998</v>
      </c>
      <c r="AI71" s="11"/>
      <c r="AJ71" s="11">
        <f>INDEX(MINVERSE(AF71:AH73),1,1)</f>
        <v>0.9791790260008465</v>
      </c>
      <c r="AK71" s="11">
        <f>INDEX(MINVERSE(AF71:AH73),2)</f>
        <v>-1.6042833840484394</v>
      </c>
      <c r="AL71" s="11">
        <f>INDEX(MINVERSE(AF71:AH73),3)</f>
        <v>0.59252774544134124</v>
      </c>
      <c r="AM71" s="11"/>
      <c r="AN71" s="11">
        <f>AD71+AD72+AD73+AD74</f>
        <v>2.2253092817258628</v>
      </c>
      <c r="AO71" s="11"/>
      <c r="AP71" s="11"/>
    </row>
    <row r="72" spans="1:42">
      <c r="A72" s="11"/>
      <c r="B72" s="11">
        <v>6</v>
      </c>
      <c r="C72" s="11">
        <v>20</v>
      </c>
      <c r="D72" s="33">
        <f>INDEX(MMULT(W71:Y73,AA71:AA73),2,1)</f>
        <v>0.23566263382873132</v>
      </c>
      <c r="E72" s="11"/>
      <c r="F72" s="11"/>
      <c r="G72" s="11">
        <v>6</v>
      </c>
      <c r="H72" s="11">
        <v>3</v>
      </c>
      <c r="I72" s="33">
        <f>INDEX(MMULT(AJ71:AL73,AN71:AN73),2,1)</f>
        <v>0.13455113460149271</v>
      </c>
      <c r="J72" s="11"/>
      <c r="K72" s="34"/>
      <c r="L72" s="11"/>
      <c r="M72" s="11"/>
      <c r="N72" s="11"/>
      <c r="O72" s="11"/>
      <c r="P72" s="11">
        <f t="shared" si="2"/>
        <v>0.77815125038364363</v>
      </c>
      <c r="Q72" s="11">
        <f t="shared" si="2"/>
        <v>1.3010299956639813</v>
      </c>
      <c r="R72" s="11"/>
      <c r="S72" s="11">
        <f>P71+P72+P73+P74</f>
        <v>4.0334237554869503</v>
      </c>
      <c r="T72" s="11">
        <f>S73</f>
        <v>6.1172622037907569</v>
      </c>
      <c r="U72" s="11">
        <f>P71^3+P72^3+P73^3+P74^3</f>
        <v>10.136788666568179</v>
      </c>
      <c r="V72" s="11"/>
      <c r="W72" s="11">
        <f>INDEX(MINVERSE(S71:U73),2,1)</f>
        <v>-1.5401004160574805</v>
      </c>
      <c r="X72" s="11">
        <f>INDEX(MINVERSE(S71:U73),2,2)</f>
        <v>5.2898664517637126</v>
      </c>
      <c r="Y72" s="11">
        <f>INDEX(MINVERSE(S71:U73),2,3)</f>
        <v>-2.4808273440139752</v>
      </c>
      <c r="Z72" s="11"/>
      <c r="AA72" s="11">
        <f>P71*Q71+P72*Q72+P73*Q73+P74*Q74</f>
        <v>7.2907808595053387</v>
      </c>
      <c r="AB72" s="11"/>
      <c r="AC72" s="11">
        <f t="shared" si="3"/>
        <v>0.77815125038364363</v>
      </c>
      <c r="AD72" s="11">
        <f t="shared" si="3"/>
        <v>0.47712125471966244</v>
      </c>
      <c r="AE72" s="11"/>
      <c r="AF72" s="11">
        <f>AC71+AC72+AC73+AC74</f>
        <v>3.924279286061882</v>
      </c>
      <c r="AG72" s="11">
        <f>AF73</f>
        <v>5.7025851953554998</v>
      </c>
      <c r="AH72" s="11">
        <f>AC71^3+AC72^3+AC73^3+AC74^3</f>
        <v>8.9548392404746231</v>
      </c>
      <c r="AI72" s="11"/>
      <c r="AJ72" s="11">
        <f>INDEX(MINVERSE(AF71:AH73),2,1)</f>
        <v>-1.6042833840484394</v>
      </c>
      <c r="AK72" s="11">
        <f>INDEX(MINVERSE(AF71:AH73),2,2)</f>
        <v>6.0493649449030098</v>
      </c>
      <c r="AL72" s="11">
        <f>INDEX(MINVERSE(AF71:AH73),2,3)</f>
        <v>-3.0376159965178968</v>
      </c>
      <c r="AM72" s="11"/>
      <c r="AN72" s="11">
        <f>AC71*AD71+AC72*AD72+AC73*AD73+AC74*AD74</f>
        <v>2.7138593461017892</v>
      </c>
      <c r="AO72" s="11"/>
      <c r="AP72" s="11"/>
    </row>
    <row r="73" spans="1:42">
      <c r="A73" s="11"/>
      <c r="B73" s="11">
        <v>20</v>
      </c>
      <c r="C73" s="11">
        <v>40</v>
      </c>
      <c r="D73" s="33">
        <f>INDEX(MMULT(W71:Y73,AA71:AA73),3,1)</f>
        <v>0.17837760062116992</v>
      </c>
      <c r="E73" s="11"/>
      <c r="F73" s="11"/>
      <c r="G73" s="11">
        <v>20</v>
      </c>
      <c r="H73" s="11">
        <v>4</v>
      </c>
      <c r="I73" s="33">
        <f>INDEX(MMULT(AJ71:AL73,AN71:AN73),3,1)</f>
        <v>8.3746987744985013E-2</v>
      </c>
      <c r="J73" s="11"/>
      <c r="K73" s="11"/>
      <c r="L73" s="11"/>
      <c r="M73" s="11"/>
      <c r="N73" s="11"/>
      <c r="O73" s="11"/>
      <c r="P73" s="11">
        <f t="shared" si="2"/>
        <v>1.3010299956639813</v>
      </c>
      <c r="Q73" s="11">
        <f t="shared" si="2"/>
        <v>1.6020599913279623</v>
      </c>
      <c r="R73" s="11"/>
      <c r="S73" s="11">
        <f>P71^2+P72^2+P73^2+P74^2</f>
        <v>6.1172622037907569</v>
      </c>
      <c r="T73" s="11">
        <f>U72</f>
        <v>10.136788666568179</v>
      </c>
      <c r="U73" s="11">
        <f>P71^4+P72^4+P73^4+P74^4</f>
        <v>17.817064269853432</v>
      </c>
      <c r="V73" s="11"/>
      <c r="W73" s="11">
        <f>INDEX(MINVERSE(S71:U73),3,1)</f>
        <v>0.54154130109257181</v>
      </c>
      <c r="X73" s="11">
        <f>INDEX(MINVERSE(S71:U73),3,2)</f>
        <v>-2.4808273440139748</v>
      </c>
      <c r="Y73" s="11">
        <f>INDEX(MINVERSE(S71:U73),3,3)</f>
        <v>1.2816293428421182</v>
      </c>
      <c r="Z73" s="11"/>
      <c r="AA73" s="11">
        <f>Q71*P71^2+Q72*P72^2+Q73*P73^2+Q74*P74^2</f>
        <v>11.695772105424421</v>
      </c>
      <c r="AB73" s="11"/>
      <c r="AC73" s="11">
        <f t="shared" si="3"/>
        <v>1.3010299956639813</v>
      </c>
      <c r="AD73" s="11">
        <f t="shared" si="3"/>
        <v>0.6020599913279624</v>
      </c>
      <c r="AE73" s="11"/>
      <c r="AF73" s="11">
        <f>AC71^2+AC72^2+AC73^2+AC74^2</f>
        <v>5.7025851953554998</v>
      </c>
      <c r="AG73" s="11">
        <f>AH72</f>
        <v>8.9548392404746231</v>
      </c>
      <c r="AH73" s="11">
        <f>AC71^4+AC72^4+AC73^4+AC74^4</f>
        <v>14.821665399823477</v>
      </c>
      <c r="AI73" s="11"/>
      <c r="AJ73" s="11">
        <f>INDEX(MINVERSE(AF71:AH73),3,1)</f>
        <v>0.59252774544134124</v>
      </c>
      <c r="AK73" s="11">
        <f>INDEX(MINVERSE(AF71:AH73),3,2)</f>
        <v>-3.0376159965178964</v>
      </c>
      <c r="AL73" s="11">
        <f>INDEX(MINVERSE(AF71:AH73),3,3)</f>
        <v>1.6747391271170073</v>
      </c>
      <c r="AM73" s="11"/>
      <c r="AN73" s="11">
        <f>AD71*AC71^2+AD72*AC72^2+AD73*AC73^2+AD74*AC74^2</f>
        <v>4.1850410876935236</v>
      </c>
      <c r="AO73" s="11"/>
      <c r="AP73" s="11"/>
    </row>
    <row r="74" spans="1:42">
      <c r="A74" s="11"/>
      <c r="B74" s="11">
        <v>90</v>
      </c>
      <c r="C74" s="11">
        <v>140</v>
      </c>
      <c r="D74" s="33"/>
      <c r="E74" s="11"/>
      <c r="F74" s="11"/>
      <c r="G74" s="11">
        <v>70</v>
      </c>
      <c r="H74" s="11">
        <v>7</v>
      </c>
      <c r="I74" s="11"/>
      <c r="J74" s="11"/>
      <c r="K74" s="11"/>
      <c r="L74" s="11"/>
      <c r="M74" s="11"/>
      <c r="N74" s="11"/>
      <c r="O74" s="11"/>
      <c r="P74" s="11">
        <f t="shared" si="2"/>
        <v>1.954242509439325</v>
      </c>
      <c r="Q74" s="11">
        <f t="shared" si="2"/>
        <v>2.1461280356782382</v>
      </c>
      <c r="R74" s="11"/>
      <c r="S74" s="11"/>
      <c r="T74" s="11"/>
      <c r="U74" s="11"/>
      <c r="V74" s="11"/>
      <c r="W74" s="11"/>
      <c r="X74" s="11"/>
      <c r="Y74" s="11"/>
      <c r="Z74" s="11"/>
      <c r="AA74" s="11"/>
      <c r="AB74" s="11"/>
      <c r="AC74" s="11">
        <f t="shared" si="3"/>
        <v>1.8450980400142569</v>
      </c>
      <c r="AD74" s="11">
        <f t="shared" si="3"/>
        <v>0.84509804001425681</v>
      </c>
      <c r="AE74" s="11"/>
      <c r="AF74" s="11"/>
      <c r="AG74" s="11"/>
      <c r="AH74" s="11"/>
      <c r="AI74" s="11"/>
      <c r="AJ74" s="11"/>
      <c r="AK74" s="11"/>
      <c r="AL74" s="11"/>
      <c r="AM74" s="11"/>
      <c r="AN74" s="11"/>
      <c r="AO74" s="11"/>
      <c r="AP74" s="11"/>
    </row>
    <row r="75" spans="1:42">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row>
    <row r="76" spans="1:42">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row>
    <row r="77" spans="1:42">
      <c r="A77" s="18" t="s">
        <v>230</v>
      </c>
      <c r="B77" s="27"/>
      <c r="C77" s="27"/>
      <c r="D77" s="27"/>
      <c r="E77" s="27"/>
      <c r="F77" s="27"/>
      <c r="G77" s="27"/>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row>
    <row r="78" spans="1:42">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row>
    <row r="79" spans="1:42">
      <c r="A79" s="11" t="s">
        <v>231</v>
      </c>
      <c r="B79" s="11"/>
      <c r="C79" s="11" t="s">
        <v>232</v>
      </c>
      <c r="D79" s="11">
        <f>-28.1815/100</f>
        <v>-0.28181499999999998</v>
      </c>
      <c r="E79" s="11" t="s">
        <v>233</v>
      </c>
      <c r="F79" s="35" t="s">
        <v>1</v>
      </c>
      <c r="G79" s="11">
        <f>168.1814/100</f>
        <v>1.6818139999999999</v>
      </c>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row>
    <row r="80" spans="1:42">
      <c r="A80" s="11" t="s">
        <v>234</v>
      </c>
      <c r="B80" s="11"/>
      <c r="C80" s="11" t="s">
        <v>232</v>
      </c>
      <c r="D80" s="11">
        <f>-28.1815/100</f>
        <v>-0.28181499999999998</v>
      </c>
      <c r="E80" s="11" t="s">
        <v>233</v>
      </c>
      <c r="F80" s="35" t="s">
        <v>1</v>
      </c>
      <c r="G80" s="11">
        <f>(168.1814-22.1818)/100</f>
        <v>1.4599959999999998</v>
      </c>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row>
    <row r="81" spans="1:42">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row>
    <row r="82" spans="1:4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row>
    <row r="83" spans="1:42">
      <c r="A83" s="18" t="s">
        <v>235</v>
      </c>
      <c r="B83" s="32"/>
      <c r="C83" s="32"/>
      <c r="D83" s="32"/>
      <c r="E83" s="32"/>
      <c r="F83" s="32"/>
      <c r="G83" s="32"/>
      <c r="H83" s="32"/>
      <c r="I83" s="32"/>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row>
    <row r="84" spans="1:42">
      <c r="A84" s="11"/>
      <c r="B84" s="27" t="s">
        <v>70</v>
      </c>
      <c r="C84" s="27"/>
      <c r="D84" s="27"/>
      <c r="E84" s="11"/>
      <c r="F84" s="11"/>
      <c r="G84" s="27" t="s">
        <v>71</v>
      </c>
      <c r="H84" s="27"/>
      <c r="I84" s="27"/>
      <c r="J84" s="27" t="s">
        <v>236</v>
      </c>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row>
    <row r="85" spans="1:42">
      <c r="A85" s="11"/>
      <c r="B85" s="22" t="s">
        <v>8</v>
      </c>
      <c r="C85" s="22" t="s">
        <v>74</v>
      </c>
      <c r="D85" s="22" t="s">
        <v>75</v>
      </c>
      <c r="E85" s="22"/>
      <c r="F85" s="22"/>
      <c r="G85" s="22" t="s">
        <v>8</v>
      </c>
      <c r="H85" s="22" t="s">
        <v>74</v>
      </c>
      <c r="I85" s="22" t="s">
        <v>75</v>
      </c>
      <c r="J85" s="11"/>
      <c r="K85" s="11"/>
      <c r="L85" s="11"/>
      <c r="M85" s="11"/>
      <c r="N85" s="11"/>
      <c r="O85" s="11"/>
      <c r="P85" s="22" t="s">
        <v>8</v>
      </c>
      <c r="Q85" s="22" t="s">
        <v>74</v>
      </c>
      <c r="R85" s="11"/>
      <c r="S85" s="11"/>
      <c r="T85" s="22" t="s">
        <v>225</v>
      </c>
      <c r="U85" s="22"/>
      <c r="V85" s="22"/>
      <c r="W85" s="22"/>
      <c r="X85" s="22" t="s">
        <v>226</v>
      </c>
      <c r="Y85" s="22"/>
      <c r="Z85" s="22"/>
      <c r="AA85" s="22" t="s">
        <v>227</v>
      </c>
      <c r="AB85" s="11"/>
      <c r="AC85" s="22" t="s">
        <v>8</v>
      </c>
      <c r="AD85" s="22" t="s">
        <v>74</v>
      </c>
      <c r="AE85" s="22"/>
      <c r="AF85" s="11"/>
      <c r="AG85" s="22" t="s">
        <v>225</v>
      </c>
      <c r="AH85" s="22"/>
      <c r="AI85" s="22"/>
      <c r="AJ85" s="22"/>
      <c r="AK85" s="22" t="s">
        <v>226</v>
      </c>
      <c r="AL85" s="22"/>
      <c r="AM85" s="22"/>
      <c r="AN85" s="22" t="s">
        <v>227</v>
      </c>
      <c r="AO85" s="11"/>
      <c r="AP85" s="11"/>
    </row>
    <row r="86" spans="1:42">
      <c r="A86" s="11"/>
      <c r="B86" s="22" t="s">
        <v>79</v>
      </c>
      <c r="C86" s="22" t="s">
        <v>80</v>
      </c>
      <c r="D86" s="22" t="s">
        <v>81</v>
      </c>
      <c r="E86" s="22"/>
      <c r="F86" s="22"/>
      <c r="G86" s="22" t="s">
        <v>79</v>
      </c>
      <c r="H86" s="22" t="s">
        <v>80</v>
      </c>
      <c r="I86" s="22" t="s">
        <v>81</v>
      </c>
      <c r="J86" s="11"/>
      <c r="K86" s="11"/>
      <c r="L86" s="11"/>
      <c r="M86" s="11"/>
      <c r="N86" s="11"/>
      <c r="O86" s="11"/>
      <c r="P86" s="22" t="s">
        <v>79</v>
      </c>
      <c r="Q86" s="22" t="s">
        <v>80</v>
      </c>
      <c r="R86" s="11"/>
      <c r="S86" s="11"/>
      <c r="T86" s="11"/>
      <c r="U86" s="11"/>
      <c r="V86" s="11"/>
      <c r="W86" s="11"/>
      <c r="X86" s="11"/>
      <c r="Y86" s="11"/>
      <c r="Z86" s="11"/>
      <c r="AA86" s="11"/>
      <c r="AB86" s="11"/>
      <c r="AC86" s="22" t="s">
        <v>79</v>
      </c>
      <c r="AD86" s="22" t="s">
        <v>80</v>
      </c>
      <c r="AE86" s="22"/>
      <c r="AF86" s="11"/>
      <c r="AG86" s="11"/>
      <c r="AH86" s="11"/>
      <c r="AI86" s="11"/>
      <c r="AJ86" s="11"/>
      <c r="AK86" s="11"/>
      <c r="AL86" s="11"/>
      <c r="AM86" s="11"/>
      <c r="AN86" s="11"/>
      <c r="AO86" s="11"/>
      <c r="AP86" s="11"/>
    </row>
    <row r="87" spans="1:42">
      <c r="A87" s="11"/>
      <c r="B87" s="11">
        <v>1</v>
      </c>
      <c r="C87" s="11">
        <v>4</v>
      </c>
      <c r="D87" s="33">
        <f>INDEX(MMULT(W87:Y89,AA87:AA89),1,1)</f>
        <v>0.6017184917250864</v>
      </c>
      <c r="E87" s="11"/>
      <c r="F87" s="11"/>
      <c r="G87" s="11">
        <v>300</v>
      </c>
      <c r="H87" s="11">
        <v>90</v>
      </c>
      <c r="I87" s="33">
        <f>INDEX(MMULT(AJ87:AK88,AN87:AN88),1,1)</f>
        <v>-0.51024360722774986</v>
      </c>
      <c r="J87" s="11"/>
      <c r="K87" s="11"/>
      <c r="L87" s="11"/>
      <c r="M87" s="11"/>
      <c r="N87" s="11"/>
      <c r="O87" s="11"/>
      <c r="P87" s="11">
        <f t="shared" ref="P87:Q90" si="4">LOG(B87)</f>
        <v>0</v>
      </c>
      <c r="Q87" s="11">
        <f t="shared" si="4"/>
        <v>0.6020599913279624</v>
      </c>
      <c r="R87" s="11"/>
      <c r="S87" s="11">
        <f>4</f>
        <v>4</v>
      </c>
      <c r="T87" s="11">
        <f>S88</f>
        <v>6.1760912590556813</v>
      </c>
      <c r="U87" s="11">
        <f>T88</f>
        <v>13.022628786217448</v>
      </c>
      <c r="V87" s="11"/>
      <c r="W87" s="11">
        <f>INDEX(MINVERSE(S87:U89),1,1)</f>
        <v>0.99928092012534531</v>
      </c>
      <c r="X87" s="11">
        <f>INDEX(MINVERSE(S87:U89),2)</f>
        <v>-0.96887778466405383</v>
      </c>
      <c r="Y87" s="11">
        <f>INDEX(MINVERSE(S87:U89),3)</f>
        <v>0.22935107692054904</v>
      </c>
      <c r="Z87" s="11"/>
      <c r="AA87" s="11">
        <f>Q87+Q88+Q89+Q90</f>
        <v>5.2402496315187994</v>
      </c>
      <c r="AB87" s="11"/>
      <c r="AC87" s="11">
        <f t="shared" ref="AC87:AD89" si="5">LOG(G87)</f>
        <v>2.4771212547196626</v>
      </c>
      <c r="AD87" s="11">
        <f t="shared" si="5"/>
        <v>1.954242509439325</v>
      </c>
      <c r="AE87" s="11"/>
      <c r="AF87" s="11">
        <v>3</v>
      </c>
      <c r="AG87" s="11">
        <f>AF88</f>
        <v>8.9542425094393252</v>
      </c>
      <c r="AH87" s="11"/>
      <c r="AI87" s="11"/>
      <c r="AJ87" s="11">
        <f>INDEX(MINVERSE(AF87:AG88),1,1)</f>
        <v>18.13834224815108</v>
      </c>
      <c r="AK87" s="11">
        <f>INDEX(MINVERSE(AF87:AG88),2)</f>
        <v>-5.9653317059644682</v>
      </c>
      <c r="AL87" s="11"/>
      <c r="AM87" s="11"/>
      <c r="AN87" s="11">
        <f>AD87+AD88+AD89</f>
        <v>7.380753770803901</v>
      </c>
      <c r="AO87" s="11"/>
      <c r="AP87" s="11"/>
    </row>
    <row r="88" spans="1:42">
      <c r="A88" s="11"/>
      <c r="B88" s="11">
        <v>50</v>
      </c>
      <c r="C88" s="11">
        <v>16.100000000000001</v>
      </c>
      <c r="D88" s="33">
        <f>INDEX(MMULT(W87:Y89,AA87:AA89),2,1)</f>
        <v>-4.755720848801559E-2</v>
      </c>
      <c r="E88" s="11"/>
      <c r="F88" s="11"/>
      <c r="G88" s="11">
        <v>1000</v>
      </c>
      <c r="H88" s="11">
        <v>300</v>
      </c>
      <c r="I88" s="33">
        <f>INDEX(MMULT(AJ87:AK88,AN87:AN88),2,1)</f>
        <v>0.99522484264780786</v>
      </c>
      <c r="J88" s="11"/>
      <c r="K88" s="11"/>
      <c r="L88" s="11"/>
      <c r="M88" s="11"/>
      <c r="N88" s="11"/>
      <c r="O88" s="11"/>
      <c r="P88" s="11">
        <f t="shared" si="4"/>
        <v>1.6989700043360187</v>
      </c>
      <c r="Q88" s="11">
        <f t="shared" si="4"/>
        <v>1.2068258760318498</v>
      </c>
      <c r="R88" s="11"/>
      <c r="S88" s="11">
        <f>P87+P88+P89+P90</f>
        <v>6.1760912590556813</v>
      </c>
      <c r="T88" s="11">
        <f>S89</f>
        <v>13.022628786217448</v>
      </c>
      <c r="U88" s="11">
        <f>P87^3+P88^3+P89^3+P90^3</f>
        <v>28.104012674849244</v>
      </c>
      <c r="V88" s="11"/>
      <c r="W88" s="11">
        <f>INDEX(MINVERSE(S87:U89),2,1)</f>
        <v>-0.96887778466405383</v>
      </c>
      <c r="X88" s="11">
        <f>INDEX(MINVERSE(S87:U89),2,2)</f>
        <v>4.5101853008225978</v>
      </c>
      <c r="Y88" s="11">
        <f>INDEX(MINVERSE(S87:U89),2,3)</f>
        <v>-1.8413951029499336</v>
      </c>
      <c r="Z88" s="11"/>
      <c r="AA88" s="11">
        <f>P87*Q87+P88*Q88+P89*Q89+P90*Q90</f>
        <v>9.8454991302828176</v>
      </c>
      <c r="AB88" s="11"/>
      <c r="AC88" s="11">
        <f t="shared" si="5"/>
        <v>3</v>
      </c>
      <c r="AD88" s="11">
        <f t="shared" si="5"/>
        <v>2.4771212547196626</v>
      </c>
      <c r="AE88" s="11"/>
      <c r="AF88" s="11">
        <f>AC87+AC88+AC89</f>
        <v>8.9542425094393252</v>
      </c>
      <c r="AG88" s="11">
        <f>AC87^2+AC88^2+AC89^2</f>
        <v>27.226501930607157</v>
      </c>
      <c r="AH88" s="11"/>
      <c r="AI88" s="11"/>
      <c r="AJ88" s="11">
        <f>INDEX(MINVERSE(AF87:AG88),2,1)</f>
        <v>-5.9653317059644682</v>
      </c>
      <c r="AK88" s="11">
        <f>INDEX(MINVERSE(AF87:AG88),2,2)</f>
        <v>1.9986051415323987</v>
      </c>
      <c r="AL88" s="11"/>
      <c r="AM88" s="11"/>
      <c r="AN88" s="11">
        <f>AC87*AD87+AC88*AD88+AC89*AD89</f>
        <v>22.527646101730625</v>
      </c>
      <c r="AO88" s="11"/>
      <c r="AP88" s="11"/>
    </row>
    <row r="89" spans="1:42">
      <c r="A89" s="11"/>
      <c r="B89" s="11">
        <v>100</v>
      </c>
      <c r="C89" s="11">
        <v>30</v>
      </c>
      <c r="D89" s="33">
        <f>INDEX(MMULT(W87:Y89,AA87:AA89),3,1)</f>
        <v>0.24012765591352192</v>
      </c>
      <c r="E89" s="11"/>
      <c r="F89" s="11"/>
      <c r="G89" s="11">
        <v>3000</v>
      </c>
      <c r="H89" s="11">
        <v>890</v>
      </c>
      <c r="I89" s="33"/>
      <c r="J89" s="11"/>
      <c r="K89" s="11"/>
      <c r="L89" s="11"/>
      <c r="M89" s="11"/>
      <c r="N89" s="11"/>
      <c r="O89" s="11"/>
      <c r="P89" s="11">
        <f t="shared" si="4"/>
        <v>2</v>
      </c>
      <c r="Q89" s="11">
        <f t="shared" si="4"/>
        <v>1.4771212547196624</v>
      </c>
      <c r="R89" s="11"/>
      <c r="S89" s="11">
        <f>P87^2+P88^2+P89^2+P90^2</f>
        <v>13.022628786217448</v>
      </c>
      <c r="T89" s="11">
        <f>U88</f>
        <v>28.104012674849244</v>
      </c>
      <c r="U89" s="11">
        <f>P87^4+P88^4+P89^4+P90^4</f>
        <v>61.983964738743879</v>
      </c>
      <c r="V89" s="11"/>
      <c r="W89" s="11">
        <f>INDEX(MINVERSE(S87:U89),3,1)</f>
        <v>0.22935107692054904</v>
      </c>
      <c r="X89" s="11">
        <f>INDEX(MINVERSE(S87:U89),3,2)</f>
        <v>-1.8413951029499331</v>
      </c>
      <c r="Y89" s="11">
        <f>INDEX(MINVERSE(S87:U89),3,3)</f>
        <v>0.8028501820753845</v>
      </c>
      <c r="Z89" s="11"/>
      <c r="AA89" s="11">
        <f>Q87*P87^2+Q88*P88^2+Q89*P89^2+Q90*P90^2</f>
        <v>21.38347231835192</v>
      </c>
      <c r="AB89" s="11"/>
      <c r="AC89" s="11">
        <f t="shared" si="5"/>
        <v>3.4771212547196626</v>
      </c>
      <c r="AD89" s="11">
        <f t="shared" si="5"/>
        <v>2.9493900066449128</v>
      </c>
      <c r="AE89" s="11"/>
      <c r="AF89" s="11"/>
      <c r="AG89" s="11"/>
      <c r="AH89" s="11"/>
      <c r="AI89" s="11"/>
      <c r="AJ89" s="11"/>
      <c r="AK89" s="11"/>
      <c r="AL89" s="11"/>
      <c r="AM89" s="11"/>
      <c r="AN89" s="11"/>
      <c r="AO89" s="11"/>
      <c r="AP89" s="11"/>
    </row>
    <row r="90" spans="1:42">
      <c r="A90" s="11"/>
      <c r="B90" s="11">
        <v>300</v>
      </c>
      <c r="C90" s="11">
        <v>90</v>
      </c>
      <c r="D90" s="33"/>
      <c r="E90" s="11"/>
      <c r="F90" s="11"/>
      <c r="G90" s="11"/>
      <c r="H90" s="11"/>
      <c r="I90" s="33"/>
      <c r="J90" s="11"/>
      <c r="K90" s="11"/>
      <c r="L90" s="11"/>
      <c r="M90" s="11"/>
      <c r="N90" s="11"/>
      <c r="O90" s="11"/>
      <c r="P90" s="11">
        <f t="shared" si="4"/>
        <v>2.4771212547196626</v>
      </c>
      <c r="Q90" s="11">
        <f t="shared" si="4"/>
        <v>1.954242509439325</v>
      </c>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row>
    <row r="91" spans="1:42">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row>
    <row r="92" spans="1:4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row>
    <row r="93" spans="1:42">
      <c r="A93" s="36" t="s">
        <v>237</v>
      </c>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row>
    <row r="94" spans="1:42">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row>
    <row r="95" spans="1:42">
      <c r="A95" s="11"/>
      <c r="B95" s="37" t="s">
        <v>238</v>
      </c>
      <c r="C95" s="38" t="s">
        <v>239</v>
      </c>
      <c r="D95" s="37" t="s">
        <v>238</v>
      </c>
      <c r="E95" s="38" t="s">
        <v>239</v>
      </c>
      <c r="F95" s="22"/>
      <c r="G95" s="37" t="s">
        <v>238</v>
      </c>
      <c r="H95" s="38" t="s">
        <v>239</v>
      </c>
      <c r="I95" s="37" t="s">
        <v>238</v>
      </c>
      <c r="J95" s="38" t="s">
        <v>239</v>
      </c>
      <c r="K95" s="39">
        <v>1.0169999999999999</v>
      </c>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row>
    <row r="96" spans="1:42">
      <c r="A96" s="11"/>
      <c r="B96" s="37" t="s">
        <v>240</v>
      </c>
      <c r="C96" s="38" t="s">
        <v>241</v>
      </c>
      <c r="D96" s="37" t="s">
        <v>240</v>
      </c>
      <c r="E96" s="38" t="s">
        <v>241</v>
      </c>
      <c r="F96" s="22"/>
      <c r="G96" s="37" t="s">
        <v>240</v>
      </c>
      <c r="H96" s="38" t="s">
        <v>241</v>
      </c>
      <c r="I96" s="37" t="s">
        <v>240</v>
      </c>
      <c r="J96" s="38" t="s">
        <v>241</v>
      </c>
      <c r="K96" s="39">
        <v>1.022</v>
      </c>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row>
    <row r="97" spans="1:42">
      <c r="A97" s="11"/>
      <c r="B97" s="40"/>
      <c r="C97" s="40" t="s">
        <v>242</v>
      </c>
      <c r="D97" s="40"/>
      <c r="E97" s="40" t="s">
        <v>242</v>
      </c>
      <c r="F97" s="22"/>
      <c r="G97" s="40"/>
      <c r="H97" s="40" t="s">
        <v>242</v>
      </c>
      <c r="I97" s="40"/>
      <c r="J97" s="40" t="s">
        <v>242</v>
      </c>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row>
    <row r="98" spans="1:42">
      <c r="A98" s="11"/>
      <c r="B98" s="37">
        <v>1981</v>
      </c>
      <c r="C98" s="38">
        <v>0.51</v>
      </c>
      <c r="D98" s="37">
        <f>B107+1</f>
        <v>1991</v>
      </c>
      <c r="E98" s="38">
        <v>0.83699999999999997</v>
      </c>
      <c r="F98" s="11"/>
      <c r="G98" s="37">
        <f>D107+1</f>
        <v>2001</v>
      </c>
      <c r="H98" s="38">
        <f>ROUND(E107*$K$95,3)</f>
        <v>1.0169999999999999</v>
      </c>
      <c r="I98" s="37">
        <f>G107+1</f>
        <v>2011</v>
      </c>
      <c r="J98" s="38">
        <f>H107*$K$96</f>
        <v>1.2519500000000001</v>
      </c>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row>
    <row r="99" spans="1:42">
      <c r="A99" s="11"/>
      <c r="B99" s="37">
        <f t="shared" ref="B99:B107" si="6">B98+1</f>
        <v>1982</v>
      </c>
      <c r="C99" s="38">
        <v>0.55900000000000005</v>
      </c>
      <c r="D99" s="37">
        <f t="shared" ref="D99:D107" si="7">D98+1</f>
        <v>1992</v>
      </c>
      <c r="E99" s="38">
        <v>0.86</v>
      </c>
      <c r="F99" s="11"/>
      <c r="G99" s="37">
        <f t="shared" ref="G99:G107" si="8">G98+1</f>
        <v>2002</v>
      </c>
      <c r="H99" s="38">
        <f>ROUND(H98*$K$95,3)</f>
        <v>1.034</v>
      </c>
      <c r="I99" s="37">
        <f t="shared" ref="I99:I107" si="9">I98+1</f>
        <v>2012</v>
      </c>
      <c r="J99" s="38">
        <f t="shared" ref="J99:J107" si="10">J98*$K$96</f>
        <v>1.2794929000000002</v>
      </c>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row>
    <row r="100" spans="1:42">
      <c r="A100" s="11"/>
      <c r="B100" s="37">
        <f t="shared" si="6"/>
        <v>1983</v>
      </c>
      <c r="C100" s="38">
        <v>0.61</v>
      </c>
      <c r="D100" s="37">
        <f t="shared" si="7"/>
        <v>1993</v>
      </c>
      <c r="E100" s="38">
        <v>0.88300000000000001</v>
      </c>
      <c r="F100" s="11"/>
      <c r="G100" s="37">
        <f t="shared" si="8"/>
        <v>2003</v>
      </c>
      <c r="H100" s="38">
        <f>ROUND(H99*$K$95,3)</f>
        <v>1.052</v>
      </c>
      <c r="I100" s="37">
        <f t="shared" si="9"/>
        <v>2013</v>
      </c>
      <c r="J100" s="38">
        <f t="shared" si="10"/>
        <v>1.3076417438000001</v>
      </c>
      <c r="K100" s="4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row>
    <row r="101" spans="1:42">
      <c r="A101" s="11"/>
      <c r="B101" s="37">
        <f t="shared" si="6"/>
        <v>1984</v>
      </c>
      <c r="C101" s="38">
        <v>0.65800000000000003</v>
      </c>
      <c r="D101" s="37">
        <f t="shared" si="7"/>
        <v>1994</v>
      </c>
      <c r="E101" s="38">
        <v>0.90100000000000002</v>
      </c>
      <c r="F101" s="11"/>
      <c r="G101" s="37">
        <f t="shared" si="8"/>
        <v>2004</v>
      </c>
      <c r="H101" s="38">
        <f t="shared" ref="H101:H107" si="11">ROUND(H100*$K$96,3)</f>
        <v>1.075</v>
      </c>
      <c r="I101" s="37">
        <f t="shared" si="9"/>
        <v>2014</v>
      </c>
      <c r="J101" s="38">
        <f t="shared" si="10"/>
        <v>1.3364098621636</v>
      </c>
      <c r="K101" s="4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row>
    <row r="102" spans="1:42">
      <c r="A102" s="11"/>
      <c r="B102" s="37">
        <f t="shared" si="6"/>
        <v>1985</v>
      </c>
      <c r="C102" s="38">
        <v>0.68100000000000005</v>
      </c>
      <c r="D102" s="37">
        <f t="shared" si="7"/>
        <v>1995</v>
      </c>
      <c r="E102" s="38">
        <v>0.91800000000000004</v>
      </c>
      <c r="F102" s="11"/>
      <c r="G102" s="37">
        <f t="shared" si="8"/>
        <v>2005</v>
      </c>
      <c r="H102" s="38">
        <f t="shared" si="11"/>
        <v>1.099</v>
      </c>
      <c r="I102" s="37">
        <f t="shared" si="9"/>
        <v>2015</v>
      </c>
      <c r="J102" s="38">
        <f t="shared" si="10"/>
        <v>1.3658108791311994</v>
      </c>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row>
    <row r="103" spans="1:42">
      <c r="A103" s="11"/>
      <c r="B103" s="37">
        <f t="shared" si="6"/>
        <v>1986</v>
      </c>
      <c r="C103" s="38">
        <v>0.7</v>
      </c>
      <c r="D103" s="37">
        <f t="shared" si="7"/>
        <v>1996</v>
      </c>
      <c r="E103" s="38">
        <v>0.93700000000000006</v>
      </c>
      <c r="F103" s="11"/>
      <c r="G103" s="37">
        <f t="shared" si="8"/>
        <v>2006</v>
      </c>
      <c r="H103" s="38">
        <f t="shared" si="11"/>
        <v>1.123</v>
      </c>
      <c r="I103" s="37">
        <f t="shared" si="9"/>
        <v>2016</v>
      </c>
      <c r="J103" s="38">
        <f t="shared" si="10"/>
        <v>1.3958587184720859</v>
      </c>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row>
    <row r="104" spans="1:42">
      <c r="A104" s="11"/>
      <c r="B104" s="37">
        <f t="shared" si="6"/>
        <v>1987</v>
      </c>
      <c r="C104" s="38">
        <v>0.71899999999999997</v>
      </c>
      <c r="D104" s="37">
        <f t="shared" si="7"/>
        <v>1997</v>
      </c>
      <c r="E104" s="38">
        <v>0.95799999999999996</v>
      </c>
      <c r="F104" s="11"/>
      <c r="G104" s="37">
        <f t="shared" si="8"/>
        <v>2007</v>
      </c>
      <c r="H104" s="38">
        <f t="shared" si="11"/>
        <v>1.1479999999999999</v>
      </c>
      <c r="I104" s="37">
        <f t="shared" si="9"/>
        <v>2017</v>
      </c>
      <c r="J104" s="38">
        <f t="shared" si="10"/>
        <v>1.4265676102784717</v>
      </c>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row>
    <row r="105" spans="1:42">
      <c r="A105" s="11"/>
      <c r="B105" s="37">
        <f t="shared" si="6"/>
        <v>1988</v>
      </c>
      <c r="C105" s="38">
        <v>0.74</v>
      </c>
      <c r="D105" s="37">
        <f t="shared" si="7"/>
        <v>1998</v>
      </c>
      <c r="E105" s="38">
        <v>0.97</v>
      </c>
      <c r="F105" s="11"/>
      <c r="G105" s="37">
        <f t="shared" si="8"/>
        <v>2008</v>
      </c>
      <c r="H105" s="38">
        <f t="shared" si="11"/>
        <v>1.173</v>
      </c>
      <c r="I105" s="37">
        <f t="shared" si="9"/>
        <v>2018</v>
      </c>
      <c r="J105" s="38">
        <f t="shared" si="10"/>
        <v>1.4579520977045981</v>
      </c>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row>
    <row r="106" spans="1:42">
      <c r="A106" s="11"/>
      <c r="B106" s="37">
        <f t="shared" si="6"/>
        <v>1989</v>
      </c>
      <c r="C106" s="38">
        <v>0.77100000000000002</v>
      </c>
      <c r="D106" s="37">
        <f t="shared" si="7"/>
        <v>1999</v>
      </c>
      <c r="E106" s="38">
        <v>0.98399999999999999</v>
      </c>
      <c r="F106" s="11"/>
      <c r="G106" s="37">
        <f t="shared" si="8"/>
        <v>2009</v>
      </c>
      <c r="H106" s="38">
        <f t="shared" si="11"/>
        <v>1.1990000000000001</v>
      </c>
      <c r="I106" s="37">
        <f t="shared" si="9"/>
        <v>2019</v>
      </c>
      <c r="J106" s="38">
        <f t="shared" si="10"/>
        <v>1.4900270438540992</v>
      </c>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row>
    <row r="107" spans="1:42">
      <c r="A107" s="11"/>
      <c r="B107" s="37">
        <f t="shared" si="6"/>
        <v>1990</v>
      </c>
      <c r="C107" s="38">
        <v>0.80200000000000005</v>
      </c>
      <c r="D107" s="37">
        <f t="shared" si="7"/>
        <v>2000</v>
      </c>
      <c r="E107" s="38">
        <v>1</v>
      </c>
      <c r="F107" s="11"/>
      <c r="G107" s="37">
        <f t="shared" si="8"/>
        <v>2010</v>
      </c>
      <c r="H107" s="38">
        <f t="shared" si="11"/>
        <v>1.2250000000000001</v>
      </c>
      <c r="I107" s="37">
        <f t="shared" si="9"/>
        <v>2020</v>
      </c>
      <c r="J107" s="38">
        <f t="shared" si="10"/>
        <v>1.5228076388188894</v>
      </c>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row>
    <row r="108" spans="1:42">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row>
    <row r="109" spans="1:42">
      <c r="A109" s="11"/>
      <c r="B109" s="11"/>
      <c r="C109" s="11"/>
      <c r="D109" s="11"/>
      <c r="E109" s="11"/>
      <c r="F109" s="11"/>
      <c r="G109" s="11"/>
      <c r="H109" s="11"/>
      <c r="I109" s="4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row>
    <row r="110" spans="1:42">
      <c r="A110" s="36" t="s">
        <v>243</v>
      </c>
      <c r="B110" s="11"/>
      <c r="C110" s="11"/>
      <c r="D110" s="11"/>
      <c r="E110" s="11"/>
      <c r="F110" s="11"/>
      <c r="G110" s="11"/>
      <c r="H110" s="11"/>
      <c r="I110" s="4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row>
    <row r="111" spans="1:42">
      <c r="A111" s="11"/>
      <c r="B111" s="11"/>
      <c r="C111" s="11"/>
      <c r="D111" s="11"/>
      <c r="E111" s="11"/>
      <c r="F111" s="11"/>
      <c r="G111" s="11"/>
      <c r="H111" s="11"/>
      <c r="I111" s="4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row>
    <row r="112" spans="1:42">
      <c r="A112" s="11"/>
      <c r="B112" s="11"/>
      <c r="C112" s="37" t="s">
        <v>244</v>
      </c>
      <c r="D112" s="37" t="s">
        <v>245</v>
      </c>
      <c r="E112" s="37" t="s">
        <v>246</v>
      </c>
      <c r="F112" s="11"/>
      <c r="G112" s="11"/>
      <c r="H112" s="11"/>
      <c r="I112" s="4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row>
    <row r="113" spans="1:42">
      <c r="A113" s="11"/>
      <c r="B113" s="11"/>
      <c r="C113" s="37" t="s">
        <v>247</v>
      </c>
      <c r="D113" s="37" t="s">
        <v>248</v>
      </c>
      <c r="E113" s="37" t="s">
        <v>248</v>
      </c>
      <c r="F113" s="11"/>
      <c r="G113" s="11"/>
      <c r="H113" s="11"/>
      <c r="I113" s="4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row>
    <row r="114" spans="1:42">
      <c r="A114" s="41" t="s">
        <v>195</v>
      </c>
      <c r="B114" s="41"/>
      <c r="C114" s="42">
        <v>0.4</v>
      </c>
      <c r="D114" s="43">
        <v>0.6</v>
      </c>
      <c r="E114" s="44">
        <f>1-D114</f>
        <v>0.4</v>
      </c>
      <c r="F114" s="11"/>
      <c r="G114" s="11"/>
      <c r="H114" s="11"/>
      <c r="I114" s="4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row>
    <row r="115" spans="1:42">
      <c r="A115" s="41" t="s">
        <v>249</v>
      </c>
      <c r="B115" s="41"/>
      <c r="C115" s="45">
        <f>SUM(C116:C122)</f>
        <v>0.99999999999999989</v>
      </c>
      <c r="D115" s="46">
        <f>SUMPRODUCT((C116:C122),(D116:D122))</f>
        <v>0.59983999999999993</v>
      </c>
      <c r="E115" s="46">
        <f>SUMPRODUCT((C116:C122),(E116:E122))</f>
        <v>0.40016000000000002</v>
      </c>
      <c r="F115" s="11"/>
      <c r="G115" s="11"/>
      <c r="H115" s="11"/>
      <c r="I115" s="4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row>
    <row r="116" spans="1:42">
      <c r="A116" s="41"/>
      <c r="B116" s="41" t="s">
        <v>198</v>
      </c>
      <c r="C116" s="42">
        <v>0.184</v>
      </c>
      <c r="D116" s="43">
        <v>0.37</v>
      </c>
      <c r="E116" s="44">
        <f t="shared" ref="E116:E126" si="12">1-D116</f>
        <v>0.63</v>
      </c>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row>
    <row r="117" spans="1:42">
      <c r="A117" s="41"/>
      <c r="B117" s="41" t="s">
        <v>207</v>
      </c>
      <c r="C117" s="47">
        <v>0.17</v>
      </c>
      <c r="D117" s="48">
        <v>0.7</v>
      </c>
      <c r="E117" s="44">
        <f t="shared" si="12"/>
        <v>0.30000000000000004</v>
      </c>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row>
    <row r="118" spans="1:42">
      <c r="A118" s="41"/>
      <c r="B118" s="41" t="s">
        <v>2</v>
      </c>
      <c r="C118" s="42">
        <v>0.23300000000000001</v>
      </c>
      <c r="D118" s="43">
        <v>0.62</v>
      </c>
      <c r="E118" s="44">
        <f t="shared" si="12"/>
        <v>0.38</v>
      </c>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row>
    <row r="119" spans="1:42">
      <c r="A119" s="41"/>
      <c r="B119" s="41" t="s">
        <v>200</v>
      </c>
      <c r="C119" s="42">
        <v>8.4000000000000005E-2</v>
      </c>
      <c r="D119" s="43">
        <v>0.5</v>
      </c>
      <c r="E119" s="44">
        <f t="shared" si="12"/>
        <v>0.5</v>
      </c>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row>
    <row r="120" spans="1:42">
      <c r="A120" s="41"/>
      <c r="B120" s="41" t="s">
        <v>197</v>
      </c>
      <c r="C120" s="42">
        <v>0.183</v>
      </c>
      <c r="D120" s="43">
        <v>0.7</v>
      </c>
      <c r="E120" s="44">
        <f t="shared" si="12"/>
        <v>0.30000000000000004</v>
      </c>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row>
    <row r="121" spans="1:42">
      <c r="A121" s="41"/>
      <c r="B121" s="41" t="s">
        <v>199</v>
      </c>
      <c r="C121" s="42">
        <v>0.02</v>
      </c>
      <c r="D121" s="43">
        <v>0.5</v>
      </c>
      <c r="E121" s="44">
        <f t="shared" si="12"/>
        <v>0.5</v>
      </c>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row>
    <row r="122" spans="1:42">
      <c r="A122" s="49"/>
      <c r="B122" s="41" t="s">
        <v>196</v>
      </c>
      <c r="C122" s="42">
        <v>0.126</v>
      </c>
      <c r="D122" s="48">
        <v>0.7</v>
      </c>
      <c r="E122" s="44">
        <f t="shared" si="12"/>
        <v>0.30000000000000004</v>
      </c>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row>
    <row r="123" spans="1:42">
      <c r="A123" s="41" t="s">
        <v>250</v>
      </c>
      <c r="B123" s="41"/>
      <c r="C123" s="42">
        <v>0.13900000000000001</v>
      </c>
      <c r="D123" s="43">
        <v>0</v>
      </c>
      <c r="E123" s="44">
        <f t="shared" si="12"/>
        <v>1</v>
      </c>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row>
    <row r="124" spans="1:42">
      <c r="A124" s="41" t="s">
        <v>251</v>
      </c>
      <c r="B124" s="41"/>
      <c r="C124" s="42">
        <v>0.22900000000000001</v>
      </c>
      <c r="D124" s="43">
        <v>0.5</v>
      </c>
      <c r="E124" s="44">
        <f t="shared" si="12"/>
        <v>0.5</v>
      </c>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row>
    <row r="125" spans="1:42">
      <c r="A125" s="41" t="s">
        <v>252</v>
      </c>
      <c r="B125" s="41"/>
      <c r="C125" s="42">
        <v>6.6000000000000003E-2</v>
      </c>
      <c r="D125" s="43">
        <v>1</v>
      </c>
      <c r="E125" s="44">
        <f t="shared" si="12"/>
        <v>0</v>
      </c>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row>
    <row r="126" spans="1:42">
      <c r="A126" s="41" t="s">
        <v>253</v>
      </c>
      <c r="B126" s="41"/>
      <c r="C126" s="42">
        <v>6.0999999999999999E-2</v>
      </c>
      <c r="D126" s="43">
        <v>0</v>
      </c>
      <c r="E126" s="44">
        <f t="shared" si="12"/>
        <v>1</v>
      </c>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row>
    <row r="127" spans="1:42">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row>
    <row r="128" spans="1:42">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row>
    <row r="129" spans="1:42">
      <c r="A129" s="36" t="s">
        <v>254</v>
      </c>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row>
    <row r="130" spans="1:42">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row>
    <row r="131" spans="1:42">
      <c r="A131" s="11" t="s">
        <v>6</v>
      </c>
      <c r="B131" s="11"/>
      <c r="C131" s="11"/>
      <c r="D131" s="50">
        <v>1.1000000000000001</v>
      </c>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row>
    <row r="132" spans="1:42">
      <c r="A132" s="11" t="s">
        <v>255</v>
      </c>
      <c r="B132" s="11"/>
      <c r="C132" s="11"/>
      <c r="D132" s="50">
        <v>1</v>
      </c>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row>
    <row r="133" spans="1:42">
      <c r="A133" s="25" t="s">
        <v>256</v>
      </c>
      <c r="B133" s="11"/>
      <c r="C133" s="11"/>
      <c r="D133" s="50">
        <v>0.8</v>
      </c>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row>
    <row r="134" spans="1:42">
      <c r="A134" s="25" t="s">
        <v>257</v>
      </c>
      <c r="B134" s="11"/>
      <c r="C134" s="11"/>
      <c r="D134" s="51">
        <v>0.5</v>
      </c>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row>
    <row r="135" spans="1:42">
      <c r="A135" s="25" t="s">
        <v>258</v>
      </c>
      <c r="B135" s="11"/>
      <c r="C135" s="11"/>
      <c r="D135" s="51">
        <v>0.2</v>
      </c>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row>
    <row r="136" spans="1:42">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row>
    <row r="137" spans="1:42">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26</vt:i4>
      </vt:variant>
    </vt:vector>
  </HeadingPairs>
  <TitlesOfParts>
    <vt:vector size="35" baseType="lpstr">
      <vt:lpstr>Cover</vt:lpstr>
      <vt:lpstr>Change Log</vt:lpstr>
      <vt:lpstr>Objectives</vt:lpstr>
      <vt:lpstr>General Inputs</vt:lpstr>
      <vt:lpstr>Cylinder</vt:lpstr>
      <vt:lpstr>Prism</vt:lpstr>
      <vt:lpstr>ProductTreeMain</vt:lpstr>
      <vt:lpstr>Trade_off</vt:lpstr>
      <vt:lpstr>Constants</vt:lpstr>
      <vt:lpstr>Cylinder_Actual_axial_natural_frequency</vt:lpstr>
      <vt:lpstr>Cylinder_Actual_lateral_natural_frequency</vt:lpstr>
      <vt:lpstr>Cylinder_Critical_buckling_load</vt:lpstr>
      <vt:lpstr>Cylinder_Cross_sectional_area_skin</vt:lpstr>
      <vt:lpstr>Cylinder_Cylinder_Margin_of_safety</vt:lpstr>
      <vt:lpstr>Cylinder_Margin_of_safety_ultimate</vt:lpstr>
      <vt:lpstr>Cylinder_Margin_of_safety_yield</vt:lpstr>
      <vt:lpstr>Cylinder_Moment_of_inertia_skin</vt:lpstr>
      <vt:lpstr>Cylinder_Number_of_stringers</vt:lpstr>
      <vt:lpstr>Cylinder_Radius_to_thickness_ratio</vt:lpstr>
      <vt:lpstr>Cylinder_Skin_Thickness</vt:lpstr>
      <vt:lpstr>Cylinder_Ultimate_load</vt:lpstr>
      <vt:lpstr>Earth_Mu</vt:lpstr>
      <vt:lpstr>Earth_Radius</vt:lpstr>
      <vt:lpstr>Prism_Actual_axial_natural_frequency</vt:lpstr>
      <vt:lpstr>Prism_Actual_lateral_natural_frequency</vt:lpstr>
      <vt:lpstr>Prism_Critical_buckling_load</vt:lpstr>
      <vt:lpstr>Prism_Cross_sectional_area_skin</vt:lpstr>
      <vt:lpstr>Prism_Margin_of_safety_ultimate</vt:lpstr>
      <vt:lpstr>Prism_Margin_of_safety_yield</vt:lpstr>
      <vt:lpstr>Prism_Number_of_stringers</vt:lpstr>
      <vt:lpstr>Prism_Prism_Margin_of_safety</vt:lpstr>
      <vt:lpstr>Prism_Skin_Thickness</vt:lpstr>
      <vt:lpstr>Prism_Ultimate_load</vt:lpstr>
      <vt:lpstr>Total_Cyliner_Mass</vt:lpstr>
      <vt:lpstr>Total_Prism_Mass</vt:lpstr>
    </vt:vector>
  </TitlesOfParts>
  <Company>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Loris Franchi</dc:creator>
  <cp:lastModifiedBy>Merel Van Walleghem</cp:lastModifiedBy>
  <dcterms:created xsi:type="dcterms:W3CDTF">2018-07-16T15:11:30Z</dcterms:created>
  <dcterms:modified xsi:type="dcterms:W3CDTF">2019-11-13T13:31:29Z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ssue Date">
    <vt:filetime>1999-12-31T22:00:00Z</vt:filetime>
  </property>
</Properties>
</file>